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E74E/e7Scu6bqwLOwaSO9ZU93l5V7t+OzbiFnkZyPIUI4gVThUlrnd0PHOYv0evlntUx5KHbvlRrKdy+j4DAEg==" workbookSaltValue="fic8bQoO2BXH3i7sa35w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D10" i="6"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I10" i="7" s="1"/>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F23" i="2" s="1"/>
  <c r="AO16" i="11"/>
  <c r="H30" i="3"/>
  <c r="BI18" i="16"/>
  <c r="G17" i="3"/>
  <c r="B25" i="6"/>
  <c r="AO17" i="11"/>
  <c r="D17" i="2"/>
  <c r="E16" i="6"/>
  <c r="I16" i="7"/>
  <c r="C16" i="6"/>
  <c r="I16" i="12" s="1"/>
  <c r="Y25" i="11"/>
  <c r="W26" i="11"/>
  <c r="B29" i="6"/>
  <c r="K29" i="7"/>
  <c r="F10" i="10"/>
  <c r="E28" i="3"/>
  <c r="D26" i="14"/>
  <c r="D11" i="2"/>
  <c r="B19" i="6"/>
  <c r="AO10" i="11"/>
  <c r="B10" i="6"/>
  <c r="AL28" i="11"/>
  <c r="AL13" i="11"/>
  <c r="E13" i="6"/>
  <c r="H10" i="2"/>
  <c r="C13" i="6"/>
  <c r="AO19" i="11"/>
  <c r="D19" i="6"/>
  <c r="J19" i="12" s="1"/>
  <c r="J19" i="7"/>
  <c r="AN19" i="11"/>
  <c r="C19" i="6"/>
  <c r="I19" i="12" s="1"/>
  <c r="Y9" i="11"/>
  <c r="W14" i="11"/>
  <c r="F9" i="12"/>
  <c r="F12" i="2"/>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E11"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AL14" i="11"/>
  <c r="B14" i="6"/>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H19" i="2" l="1"/>
  <c r="F19" i="2"/>
  <c r="AV23" i="21"/>
  <c r="F31" i="7"/>
  <c r="AN10" i="11"/>
  <c r="AL25" i="11"/>
  <c r="H11" i="2"/>
  <c r="BJ29" i="11"/>
  <c r="BE10" i="11"/>
  <c r="AO16" i="17"/>
  <c r="BJ19"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C32" i="20"/>
  <c r="AO32" i="20"/>
  <c r="AL32" i="20"/>
  <c r="E31" i="14" l="1"/>
  <c r="D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BO32" i="16"/>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<sst xmlns="http://schemas.openxmlformats.org/spreadsheetml/2006/main" count="2638" uniqueCount="1168">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</sst>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3R9c7ySMsB0jWqsbQ+tfwMI7/b1V1ihi+nRBIBpwC4askzzbPtcezwBmAN0RzZCdOWznpLcrIceYSjDGu7SGwQ==" saltValue="Sww1v/n2MtB6wpj0EaCE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10</v>
      </c>
      <c r="D10" s="239">
        <f>IF(ISNUMBER(Datos!I10),Datos!I10," - ")</f>
        <v>25</v>
      </c>
      <c r="E10" s="240">
        <f>IF(ISNUMBER(Datos!J10),Datos!J10," - ")</f>
        <v>16</v>
      </c>
      <c r="F10" s="240">
        <f>IF(ISNUMBER(Datos!K10),Datos!K10," - ")</f>
        <v>15</v>
      </c>
      <c r="G10" s="1392" t="str">
        <f>IF(Datos!E10&lt;&gt;"",Datos!E10,Datos!D10)</f>
        <v>37</v>
      </c>
      <c r="H10" s="241">
        <f>IF(ISNUMBER(Datos!L10),Datos!L10," - ")</f>
        <v>11</v>
      </c>
      <c r="I10" s="1402" t="str">
        <f>IF(ISNUMBER(Datos!AS10/Datos!BM10),Datos!AS10/Datos!BM10," - ")</f>
        <v xml:space="preserve"> - </v>
      </c>
      <c r="J10" s="1403">
        <f>IF(ISNUMBER(Datos!BY10/Datos!CN10),Datos!BY10/Datos!CN10," - ")</f>
        <v>0</v>
      </c>
      <c r="K10" s="244">
        <f t="shared" ref="K10:K13" si="1">IF(ISNUMBER((E10-F10)/C10),(E10-F10)/C10," - ")</f>
        <v>0.1</v>
      </c>
      <c r="L10" s="1404">
        <f>IF(ISNUMBER(NºAsuntos!I10/NºAsuntos!G10),(NºAsuntos!I10/NºAsuntos!G10)*11," - ")</f>
        <v>8.0666666666666664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6.1697264893218433</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10</v>
      </c>
      <c r="D14" s="1409">
        <f>SUBTOTAL(9,D9:D13)</f>
        <v>25</v>
      </c>
      <c r="E14" s="1410">
        <f>SUBTOTAL(9,E9:E13)</f>
        <v>16</v>
      </c>
      <c r="F14" s="1411">
        <f>SUBTOTAL(9,F9:F13)</f>
        <v>15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612</v>
      </c>
      <c r="D17" s="239">
        <f>IF(ISNUMBER(IF(D_I="SI",Datos!I17,Datos!I17+Datos!AC17)),IF(D_I="SI",Datos!I17,Datos!I17+Datos!AC17)," - ")</f>
        <v>617</v>
      </c>
      <c r="E17" s="240">
        <f>IF(ISNUMBER(IF(D_I="SI",Datos!J17,Datos!J17+Datos!AD17)),IF(D_I="SI",Datos!J17,Datos!J17+Datos!AD17)," - ")</f>
        <v>2518</v>
      </c>
      <c r="F17" s="240">
        <f>IF(ISNUMBER(IF(D_I="SI",Datos!K17,Datos!K17+Datos!AE17)),IF(D_I="SI",Datos!K17,Datos!K17+Datos!AE17)," - ")</f>
        <v>2588</v>
      </c>
      <c r="G17" s="1392" t="str">
        <f>IF(Datos!E17&lt;&gt;"",Datos!E17,Datos!D17)</f>
        <v>04</v>
      </c>
      <c r="H17" s="241">
        <f>IF(ISNUMBER(IF(D_I="SI",Datos!L17,Datos!L17+Datos!AF17)),IF(D_I="SI",Datos!L17,Datos!L17+Datos!AF17)," - ")</f>
        <v>542</v>
      </c>
      <c r="I17" s="1402" t="str">
        <f>IF(ISNUMBER(Datos!AS17/Datos!BM17),Datos!AS17/Datos!BM17," - ")</f>
        <v xml:space="preserve"> - </v>
      </c>
      <c r="J17" s="1403">
        <f>IF(ISNUMBER(Datos!BY17/Datos!CN17),Datos!BY17/Datos!CN17," - ")</f>
        <v>0</v>
      </c>
      <c r="K17" s="244">
        <f t="shared" si="3"/>
        <v>-0.11437908496732026</v>
      </c>
      <c r="L17" s="1404">
        <f>IF(ISNUMBER(NºAsuntos!I17/NºAsuntos!G17),(NºAsuntos!I17/NºAsuntos!G17)*11," - ")</f>
        <v>2.3037094281298298</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5</v>
      </c>
      <c r="D18" s="239">
        <f>IF(ISNUMBER(IF(D_I="SI",Datos!I18,Datos!I18+Datos!AC18)),IF(D_I="SI",Datos!I18,Datos!I18+Datos!AC18)," - ")</f>
        <v>5</v>
      </c>
      <c r="E18" s="240">
        <f>IF(ISNUMBER(IF(D_I="SI",Datos!J18,Datos!J18+Datos!AD18)),IF(D_I="SI",Datos!J18,Datos!J18+Datos!AD18)," - ")</f>
        <v>209</v>
      </c>
      <c r="F18" s="240">
        <f>IF(ISNUMBER(IF(D_I="SI",Datos!K18,Datos!K18+Datos!AE18)),IF(D_I="SI",Datos!K18,Datos!K18+Datos!AE18)," - ")</f>
        <v>173</v>
      </c>
      <c r="G18" s="1392" t="str">
        <f>IF(Datos!E18&lt;&gt;"",Datos!E18,Datos!D18)</f>
        <v>37</v>
      </c>
      <c r="H18" s="241">
        <f>IF(ISNUMBER(IF(D_I="SI",Datos!L18,Datos!L18+Datos!AF18)),IF(D_I="SI",Datos!L18,Datos!L18+Datos!AF18)," - ")</f>
        <v>41</v>
      </c>
      <c r="I18" s="1402" t="str">
        <f>IF(ISNUMBER(Datos!AS18/Datos!BM18),Datos!AS18/Datos!BM18," - ")</f>
        <v xml:space="preserve"> - </v>
      </c>
      <c r="J18" s="1403" t="str">
        <f>IF(ISNUMBER((Datos!BY18+Datos!BZ18)/Datos!CN18),(Datos!BY18+Datos!BZ18)/Datos!CN18," - ")</f>
        <v xml:space="preserve"> - </v>
      </c>
      <c r="K18" s="244">
        <f t="shared" si="3"/>
        <v>7.2</v>
      </c>
      <c r="L18" s="1404">
        <f>IF(ISNUMBER(NºAsuntos!I18/NºAsuntos!G18),(NºAsuntos!I18/NºAsuntos!G18)*11," - ")</f>
        <v>2.6069364161849711</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617</v>
      </c>
      <c r="D23" s="1409">
        <f>SUBTOTAL(9,D16:D22)</f>
        <v>622</v>
      </c>
      <c r="E23" s="1410">
        <f>SUBTOTAL(9,E16:E22)</f>
        <v>2727</v>
      </c>
      <c r="F23" s="1410">
        <f>SUBTOTAL(9,F16:F22)</f>
        <v>2761</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627</v>
      </c>
      <c r="D31" s="1437">
        <f>SUBTOTAL(9,D9:D30)</f>
        <v>647</v>
      </c>
      <c r="E31" s="1438">
        <f>SUBTOTAL(9,E9:E30)</f>
        <v>2743</v>
      </c>
      <c r="F31" s="1438">
        <f>SUBTOTAL(9,F9:F30)</f>
        <v>2776</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XhSbbnSonebx7wwDaav+B61xGJKG8ApPH/YZUx0ch4gTg7U0xasdmQWOzULQeA3mgOqwxUwbrq4yc989FeS5Sw==" saltValue="P6wBTvSGaSGRRrc4i24r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9TLG7H1DnaHRs4JbeBc6+ArDAhbLCeX55kgmppr9KocPNahoXEQK8OuNsP1L3jN7wwmZqLbW/B53ghGTN98u6Q==" saltValue="hb8bqwJBJb51SPAyMZSJ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25</v>
      </c>
      <c r="J10" s="194">
        <v>16</v>
      </c>
      <c r="K10" s="194">
        <v>15</v>
      </c>
      <c r="L10" s="194">
        <v>11</v>
      </c>
      <c r="M10" s="194">
        <v>8</v>
      </c>
      <c r="N10" s="194">
        <v>1</v>
      </c>
      <c r="O10" s="194">
        <v>0</v>
      </c>
      <c r="P10" s="194">
        <v>1</v>
      </c>
      <c r="Q10" s="194">
        <v>0</v>
      </c>
      <c r="R10" s="194">
        <v>2</v>
      </c>
      <c r="S10" s="194">
        <v>13</v>
      </c>
      <c r="T10" s="194">
        <v>15</v>
      </c>
      <c r="U10" s="194">
        <v>3</v>
      </c>
      <c r="V10" s="194">
        <v>25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13</v>
      </c>
      <c r="AZ10" s="139">
        <f t="shared" si="0"/>
        <v>15</v>
      </c>
      <c r="BA10" s="139">
        <f t="shared" si="0"/>
        <v>3</v>
      </c>
      <c r="BB10" s="139">
        <f t="shared" si="0"/>
        <v>25</v>
      </c>
      <c r="BC10" s="135">
        <f t="shared" si="0"/>
        <v>0</v>
      </c>
      <c r="BD10" s="136">
        <f>IF(ISNUMBER(BA10/AZ10),BA10/AZ10," - ")</f>
        <v>0.2</v>
      </c>
      <c r="BE10" s="137">
        <f>IF(ISNUMBER(BB10/BA10),BB10/BA10, " - ")</f>
        <v>8.3333333333333339</v>
      </c>
      <c r="BF10" s="137">
        <f>IF(ISNUMBER(BC10/BA10),BC10/BA10, " - ")</f>
        <v>0</v>
      </c>
      <c r="BG10" s="209">
        <f>IF(ISNUMBER((AY10+AZ10)/BA10),(AY10+AZ10)/BA10," - ")</f>
        <v>9.3333333333333339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1335</v>
      </c>
      <c r="J12" s="196">
        <v>2860</v>
      </c>
      <c r="K12" s="196">
        <v>2506</v>
      </c>
      <c r="L12" s="196">
        <v>1405</v>
      </c>
      <c r="M12" s="196">
        <v>502</v>
      </c>
      <c r="N12" s="196">
        <v>1409</v>
      </c>
      <c r="O12" s="194">
        <v>954</v>
      </c>
      <c r="P12" s="196">
        <v>462</v>
      </c>
      <c r="Q12" s="196">
        <v>266</v>
      </c>
      <c r="R12" s="196">
        <v>3086</v>
      </c>
      <c r="S12" s="196">
        <v>1326</v>
      </c>
      <c r="T12" s="196">
        <v>2377</v>
      </c>
      <c r="U12" s="196">
        <v>2368</v>
      </c>
      <c r="V12" s="196">
        <v>1335</v>
      </c>
      <c r="W12" s="196">
        <v>455</v>
      </c>
      <c r="X12" s="202">
        <v>1184</v>
      </c>
      <c r="Y12" s="204">
        <v>69</v>
      </c>
      <c r="Z12" s="194">
        <v>185</v>
      </c>
      <c r="AA12" s="194">
        <v>163</v>
      </c>
      <c r="AB12" s="194">
        <v>92</v>
      </c>
      <c r="AC12" s="196">
        <v>0</v>
      </c>
      <c r="AD12" s="196">
        <v>0</v>
      </c>
      <c r="AE12" s="196">
        <v>0</v>
      </c>
      <c r="AF12" s="202">
        <v>0</v>
      </c>
      <c r="AG12" s="215">
        <v>85</v>
      </c>
      <c r="AH12" s="196">
        <v>140</v>
      </c>
      <c r="AI12" s="196">
        <v>156</v>
      </c>
      <c r="AJ12" s="216">
        <v>69</v>
      </c>
      <c r="AK12" s="195">
        <v>0</v>
      </c>
      <c r="AL12" s="196">
        <v>0</v>
      </c>
      <c r="AM12" s="196">
        <v>0</v>
      </c>
      <c r="AN12" s="202">
        <v>0</v>
      </c>
      <c r="AO12" s="283">
        <v>3</v>
      </c>
      <c r="AP12" s="168">
        <v>3</v>
      </c>
      <c r="AQ12" s="168">
        <v>3</v>
      </c>
      <c r="AR12" s="167">
        <v>3</v>
      </c>
      <c r="AS12" s="382" t="s">
        <v>1089</v>
      </c>
      <c r="AT12" s="216"/>
      <c r="AU12" s="215"/>
      <c r="AV12" s="216"/>
      <c r="AW12" s="215"/>
      <c r="AX12" s="216"/>
      <c r="AY12" s="136">
        <f t="shared" si="1"/>
        <v>1411</v>
      </c>
      <c r="AZ12" s="137">
        <f t="shared" si="1"/>
        <v>2517</v>
      </c>
      <c r="BA12" s="137">
        <f t="shared" si="1"/>
        <v>2524</v>
      </c>
      <c r="BB12" s="137">
        <f t="shared" si="1"/>
        <v>1404</v>
      </c>
      <c r="BC12" s="135">
        <f>IF(ISNUMBER(X12),X12," - ")</f>
        <v>1184</v>
      </c>
      <c r="BD12" s="136">
        <f t="shared" si="2"/>
        <v>1.0027810885975368</v>
      </c>
      <c r="BE12" s="137">
        <f t="shared" si="3"/>
        <v>0.55625990491283672</v>
      </c>
      <c r="BF12" s="137">
        <f t="shared" si="4"/>
        <v>0.46909667194928684</v>
      </c>
      <c r="BG12" s="209">
        <f t="shared" si="5"/>
        <v>1.5562599049128367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1360</v>
      </c>
      <c r="J14" s="197">
        <f t="shared" si="7"/>
        <v>2876</v>
      </c>
      <c r="K14" s="197">
        <f t="shared" si="7"/>
        <v>2521</v>
      </c>
      <c r="L14" s="197">
        <f t="shared" si="7"/>
        <v>1416</v>
      </c>
      <c r="M14" s="197">
        <f t="shared" si="7"/>
        <v>510</v>
      </c>
      <c r="N14" s="197">
        <f t="shared" si="7"/>
        <v>1410</v>
      </c>
      <c r="O14" s="197">
        <f t="shared" si="7"/>
        <v>954</v>
      </c>
      <c r="P14" s="197">
        <f t="shared" si="7"/>
        <v>463</v>
      </c>
      <c r="Q14" s="197">
        <f t="shared" si="7"/>
        <v>266</v>
      </c>
      <c r="R14" s="197">
        <f t="shared" si="7"/>
        <v>3088</v>
      </c>
      <c r="S14" s="197">
        <f t="shared" si="7"/>
        <v>1339</v>
      </c>
      <c r="T14" s="197">
        <f t="shared" si="7"/>
        <v>2392</v>
      </c>
      <c r="U14" s="197">
        <f t="shared" si="7"/>
        <v>2371</v>
      </c>
      <c r="V14" s="197">
        <f t="shared" si="7"/>
        <v>1360</v>
      </c>
      <c r="W14" s="197">
        <f t="shared" si="7"/>
        <v>455</v>
      </c>
      <c r="X14" s="197">
        <f t="shared" si="7"/>
        <v>1184</v>
      </c>
      <c r="Y14" s="197">
        <f t="shared" si="7"/>
        <v>69</v>
      </c>
      <c r="Z14" s="197">
        <f t="shared" si="7"/>
        <v>185</v>
      </c>
      <c r="AA14" s="197">
        <f t="shared" si="7"/>
        <v>163</v>
      </c>
      <c r="AB14" s="197">
        <f t="shared" si="7"/>
        <v>92</v>
      </c>
      <c r="AC14" s="197">
        <f t="shared" si="7"/>
        <v>0</v>
      </c>
      <c r="AD14" s="197">
        <f t="shared" si="7"/>
        <v>0</v>
      </c>
      <c r="AE14" s="197">
        <f t="shared" si="7"/>
        <v>0</v>
      </c>
      <c r="AF14" s="197">
        <f>SUBTOTAL(9,AF9:AF13)</f>
        <v>0</v>
      </c>
      <c r="AG14" s="197">
        <f t="shared" ref="AG14:AT14" si="8">SUBTOTAL(9,AG8:AG13)</f>
        <v>85</v>
      </c>
      <c r="AH14" s="197">
        <f t="shared" si="8"/>
        <v>140</v>
      </c>
      <c r="AI14" s="197">
        <f t="shared" si="8"/>
        <v>156</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1424</v>
      </c>
      <c r="AZ14" s="197">
        <f>SUBTOTAL(9,AZ8:AZ13)</f>
        <v>2532</v>
      </c>
      <c r="BA14" s="197">
        <f>SUBTOTAL(9,BA8:BA13)</f>
        <v>2527</v>
      </c>
      <c r="BB14" s="197">
        <f>SUBTOTAL(9,BB8:BB13)</f>
        <v>1429</v>
      </c>
      <c r="BC14" s="197">
        <f>SUBTOTAL(9,BC8:BC13)</f>
        <v>1184</v>
      </c>
      <c r="BD14" s="219">
        <f>IF(ISNUMBER(BA14/AZ14),BA14/AZ14," - ")</f>
        <v>0.99802527646129546</v>
      </c>
      <c r="BE14" s="220">
        <f>IF(ISNUMBER(BB14/BA14),BB14/BA14, " - ")</f>
        <v>0.56549267906608625</v>
      </c>
      <c r="BF14" s="220">
        <f>IF(ISNUMBER(BC14/BA14),BC14/BA14, " - ")</f>
        <v>0.46853977047882867</v>
      </c>
      <c r="BG14" s="221">
        <f>IF(ISNUMBER((AY14+AZ14)/BA14),(AY14+AZ14)/BA14," - ")</f>
        <v>1.5654926790660864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617</v>
      </c>
      <c r="J17" s="196">
        <v>2518</v>
      </c>
      <c r="K17" s="196">
        <v>2588</v>
      </c>
      <c r="L17" s="196">
        <v>542</v>
      </c>
      <c r="M17" s="196">
        <v>432</v>
      </c>
      <c r="N17" s="196">
        <v>1752</v>
      </c>
      <c r="O17" s="194">
        <v>73</v>
      </c>
      <c r="P17" s="196">
        <v>106</v>
      </c>
      <c r="Q17" s="196">
        <v>102</v>
      </c>
      <c r="R17" s="196">
        <v>134</v>
      </c>
      <c r="S17" s="196">
        <v>632</v>
      </c>
      <c r="T17" s="196">
        <v>2746</v>
      </c>
      <c r="U17" s="196">
        <v>2632</v>
      </c>
      <c r="V17" s="196">
        <v>617</v>
      </c>
      <c r="W17" s="196">
        <v>363</v>
      </c>
      <c r="X17" s="202">
        <v>1806</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2" t="s">
        <v>653</v>
      </c>
      <c r="AT17" s="216"/>
      <c r="AU17" s="215"/>
      <c r="AV17" s="216"/>
      <c r="AW17" s="215"/>
      <c r="AX17" s="216"/>
      <c r="AY17" s="136">
        <f t="shared" si="10"/>
        <v>632</v>
      </c>
      <c r="AZ17" s="137">
        <f t="shared" si="10"/>
        <v>2746</v>
      </c>
      <c r="BA17" s="137">
        <f t="shared" si="10"/>
        <v>2632</v>
      </c>
      <c r="BB17" s="137">
        <f t="shared" si="10"/>
        <v>617</v>
      </c>
      <c r="BC17" s="135">
        <f>IF(ISNUMBER(W17),W17," - ")</f>
        <v>363</v>
      </c>
      <c r="BD17" s="136">
        <f t="shared" ref="BD17:BD22" si="12">IF(ISNUMBER(BA17/AZ17),BA17/AZ17," - ")</f>
        <v>0.9584850691915513</v>
      </c>
      <c r="BE17" s="137">
        <f t="shared" ref="BE17:BE22" si="13">IF(ISNUMBER(BB17/BA17),BB17/BA17, " - ")</f>
        <v>0.23442249240121579</v>
      </c>
      <c r="BF17" s="137">
        <f t="shared" ref="BF17:BF22" si="14">IF(ISNUMBER(BC17/BA17),BC17/BA17, " - ")</f>
        <v>0.13791793313069908</v>
      </c>
      <c r="BG17" s="209">
        <f t="shared" si="11"/>
        <v>1.2834346504559271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5</v>
      </c>
      <c r="J18" s="196">
        <v>209</v>
      </c>
      <c r="K18" s="196">
        <v>173</v>
      </c>
      <c r="L18" s="196">
        <v>41</v>
      </c>
      <c r="M18" s="196">
        <v>68</v>
      </c>
      <c r="N18" s="196">
        <v>148</v>
      </c>
      <c r="O18" s="196">
        <v>2</v>
      </c>
      <c r="P18" s="196">
        <v>18</v>
      </c>
      <c r="Q18" s="196">
        <v>17</v>
      </c>
      <c r="R18" s="196">
        <v>16</v>
      </c>
      <c r="S18" s="196">
        <v>15</v>
      </c>
      <c r="T18" s="196">
        <v>206</v>
      </c>
      <c r="U18" s="196">
        <v>216</v>
      </c>
      <c r="V18" s="196">
        <v>5</v>
      </c>
      <c r="W18" s="196">
        <v>61</v>
      </c>
      <c r="X18" s="202">
        <v>156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15</v>
      </c>
      <c r="AZ18" s="139">
        <f t="shared" si="15"/>
        <v>206</v>
      </c>
      <c r="BA18" s="139">
        <f t="shared" si="15"/>
        <v>216</v>
      </c>
      <c r="BB18" s="139">
        <f t="shared" si="15"/>
        <v>5</v>
      </c>
      <c r="BC18" s="135">
        <f>IF(ISNUMBER(W18),W18," - ")</f>
        <v>61</v>
      </c>
      <c r="BD18" s="136">
        <f>IF(ISNUMBER(BA18/AZ18),BA18/AZ18," - ")</f>
        <v>1.0485436893203883</v>
      </c>
      <c r="BE18" s="137">
        <f>IF(ISNUMBER(BB18/BA18),BB18/BA18, " - ")</f>
        <v>2.3148148148148147E-2</v>
      </c>
      <c r="BF18" s="137">
        <f>IF(ISNUMBER(BC18/BA18),BC18/BA18, " - ")</f>
        <v>0.28240740740740738</v>
      </c>
      <c r="BG18" s="209">
        <f>IF(ISNUMBER((AY18+AZ18)/BA18),(AY18+AZ18)/BA18," - ")</f>
        <v>1.0231481481481481</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622</v>
      </c>
      <c r="J23" s="197">
        <f t="shared" si="21"/>
        <v>2727</v>
      </c>
      <c r="K23" s="197">
        <f t="shared" si="21"/>
        <v>2761</v>
      </c>
      <c r="L23" s="197">
        <f t="shared" si="21"/>
        <v>583</v>
      </c>
      <c r="M23" s="197">
        <f t="shared" si="21"/>
        <v>500</v>
      </c>
      <c r="N23" s="197">
        <f t="shared" si="21"/>
        <v>1900</v>
      </c>
      <c r="O23" s="197">
        <f t="shared" si="21"/>
        <v>75</v>
      </c>
      <c r="P23" s="197">
        <f t="shared" si="21"/>
        <v>124</v>
      </c>
      <c r="Q23" s="197">
        <f t="shared" si="21"/>
        <v>119</v>
      </c>
      <c r="R23" s="197">
        <f t="shared" si="21"/>
        <v>150</v>
      </c>
      <c r="S23" s="197">
        <f t="shared" si="21"/>
        <v>647</v>
      </c>
      <c r="T23" s="197">
        <f t="shared" si="21"/>
        <v>2952</v>
      </c>
      <c r="U23" s="197">
        <f t="shared" si="21"/>
        <v>2848</v>
      </c>
      <c r="V23" s="197">
        <f t="shared" si="21"/>
        <v>622</v>
      </c>
      <c r="W23" s="197">
        <f t="shared" si="21"/>
        <v>424</v>
      </c>
      <c r="X23" s="197">
        <f t="shared" si="21"/>
        <v>1962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647</v>
      </c>
      <c r="AZ23" s="197">
        <f>SUBTOTAL(9,AZ15:AZ22)</f>
        <v>2952</v>
      </c>
      <c r="BA23" s="197">
        <f>SUBTOTAL(9,BA15:BA22)</f>
        <v>2848</v>
      </c>
      <c r="BB23" s="197">
        <f>SUBTOTAL(9,BB15:BB22)</f>
        <v>622</v>
      </c>
      <c r="BC23" s="197">
        <f>SUBTOTAL(9,BC15:BC22)</f>
        <v>424</v>
      </c>
      <c r="BD23" s="219">
        <f>IF(ISNUMBER(BA23/AZ23),BA23/AZ23," - ")</f>
        <v>0.964769647696477</v>
      </c>
      <c r="BE23" s="220">
        <f>IF(ISNUMBER(BB23/BA23),BB23/BA23, " - ")</f>
        <v>0.21839887640449437</v>
      </c>
      <c r="BF23" s="220">
        <f>IF(ISNUMBER(BC23/BA23),BC23/BA23, " - ")</f>
        <v>0.14887640449438203</v>
      </c>
      <c r="BG23" s="221">
        <f>IF(ISNUMBER((AY23+AZ23)/BA23),(AY23+AZ23)/BA23," - ")</f>
        <v>1.2636938202247192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1982</v>
      </c>
      <c r="J31" s="144">
        <f t="shared" si="36"/>
        <v>5603</v>
      </c>
      <c r="K31" s="144">
        <f t="shared" si="36"/>
        <v>5282</v>
      </c>
      <c r="L31" s="144">
        <f t="shared" si="36"/>
        <v>1999</v>
      </c>
      <c r="M31" s="144">
        <f t="shared" si="36"/>
        <v>1010</v>
      </c>
      <c r="N31" s="144">
        <f t="shared" si="36"/>
        <v>3310</v>
      </c>
      <c r="O31" s="144">
        <f t="shared" si="36"/>
        <v>1029</v>
      </c>
      <c r="P31" s="144">
        <f t="shared" si="36"/>
        <v>587</v>
      </c>
      <c r="Q31" s="144">
        <f t="shared" si="36"/>
        <v>385</v>
      </c>
      <c r="R31" s="144">
        <f t="shared" si="36"/>
        <v>3238</v>
      </c>
      <c r="S31" s="144">
        <f t="shared" si="36"/>
        <v>1986</v>
      </c>
      <c r="T31" s="144">
        <f t="shared" si="36"/>
        <v>5344</v>
      </c>
      <c r="U31" s="144">
        <f t="shared" si="36"/>
        <v>5219</v>
      </c>
      <c r="V31" s="144">
        <f t="shared" si="36"/>
        <v>1982</v>
      </c>
      <c r="W31" s="144">
        <f t="shared" si="36"/>
        <v>879</v>
      </c>
      <c r="X31" s="144">
        <f t="shared" si="36"/>
        <v>3146</v>
      </c>
      <c r="Y31" s="144">
        <f t="shared" si="36"/>
        <v>69</v>
      </c>
      <c r="Z31" s="144">
        <f t="shared" si="36"/>
        <v>185</v>
      </c>
      <c r="AA31" s="144">
        <f t="shared" si="36"/>
        <v>163</v>
      </c>
      <c r="AB31" s="144">
        <f t="shared" si="36"/>
        <v>92</v>
      </c>
      <c r="AC31" s="144">
        <f t="shared" si="36"/>
        <v>0</v>
      </c>
      <c r="AD31" s="144">
        <f t="shared" si="36"/>
        <v>1</v>
      </c>
      <c r="AE31" s="144">
        <f t="shared" si="36"/>
        <v>1</v>
      </c>
      <c r="AF31" s="144">
        <f t="shared" si="36"/>
        <v>0</v>
      </c>
      <c r="AG31" s="144">
        <f t="shared" si="36"/>
        <v>85</v>
      </c>
      <c r="AH31" s="144">
        <f t="shared" si="36"/>
        <v>140</v>
      </c>
      <c r="AI31" s="144">
        <f t="shared" si="36"/>
        <v>156</v>
      </c>
      <c r="AJ31" s="144">
        <f t="shared" si="36"/>
        <v>69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2071</v>
      </c>
      <c r="AZ31" s="144">
        <f>SUBTOTAL(9,AZ9:AZ30)</f>
        <v>5484</v>
      </c>
      <c r="BA31" s="144">
        <f>SUBTOTAL(9,BA9:BA30)</f>
        <v>5375</v>
      </c>
      <c r="BB31" s="144">
        <f>SUBTOTAL(9,BB9:BB30)</f>
        <v>2051</v>
      </c>
      <c r="BC31" s="145">
        <f>SUBTOTAL(9,BC9:BC30)</f>
        <v>1608</v>
      </c>
      <c r="BD31" s="227">
        <f>IF(ISNUMBER(BA31/AZ31),BA31/AZ31," - ")</f>
        <v>0.98012399708242159</v>
      </c>
      <c r="BE31" s="224">
        <f>IF(ISNUMBER(BB31/BA31),BB31/BA31, " - ")</f>
        <v>0.38158139534883723</v>
      </c>
      <c r="BF31" s="224">
        <f>IF(ISNUMBER(BC31/BA31),BC31/BA31, " - ")</f>
        <v>0.29916279069767443</v>
      </c>
      <c r="BG31" s="145">
        <f>IF(ISNUMBER((AY31+AZ31)/BA31),(AY31+AZ31)/BA31," - ")</f>
        <v>1.4055813953488372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5tu7FHTJN0zGHO2WHcbdvf5REmnSmq0YfIqMWgsTaRpBuada+LdnvanxBz4SHbIOaqZ7addHYQRHy4+TagFQ==" saltValue="ISUkYiS3iIiO0oleZoxd4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gKt5KQd70iOvDzsJyyt37tN4VSwhyf2oehrRWfGExb1D5nnqY38muRyNfNdVp3uG3vfFuxZULbZsySp5vyaQ==" saltValue="e831i4VOJ9GZy8/CXVY+IQ=="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ARUCAS</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10</v>
      </c>
      <c r="G10" s="547">
        <f>IF(ISNUMBER(Datos!I10),Datos!I10," - ")</f>
        <v>25</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15</v>
      </c>
      <c r="AC10" s="551">
        <f>IF(ISNUMBER(Datos!Q10),Datos!Q10," - ")</f>
        <v>0</v>
      </c>
      <c r="AD10" s="553"/>
      <c r="AE10" s="567"/>
      <c r="AF10" s="555">
        <f>IF(ISNUMBER(Datos!L10),Datos!L10,"-")</f>
        <v>11</v>
      </c>
      <c r="AG10" s="553"/>
      <c r="AH10" s="553"/>
      <c r="AI10" s="553"/>
      <c r="AJ10" s="553"/>
      <c r="AK10" s="553"/>
      <c r="AL10" s="554"/>
      <c r="AM10" s="771">
        <f>IF(ISNUMBER(Datos!R10),Datos!R10," - ")</f>
        <v>2</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8</v>
      </c>
      <c r="BD10" s="697">
        <f>IF(ISNUMBER(Datos!N10),Datos!N10," - ")</f>
        <v>1</v>
      </c>
      <c r="BE10" s="697" t="str">
        <f>IF(ISNUMBER(Datos!BW10),Datos!BW10," - ")</f>
        <v xml:space="preserve"> - </v>
      </c>
      <c r="BF10" s="767" t="str">
        <f>IF(ISNUMBER(Datos!BX10),Datos!BX10," - ")</f>
        <v xml:space="preserve"> - </v>
      </c>
      <c r="BG10" s="768">
        <f>IF(ISNUMBER(Datos!K10/Datos!J10),Datos!K10/Datos!J10," - ")</f>
        <v>0.9375</v>
      </c>
      <c r="BH10" s="769">
        <f>IF(ISNUMBER(((Datos!L10/Datos!K10)*11)/factor_trimestre),((Datos!L10/Datos!K10)*11)/factor_trimestre," - ")</f>
        <v>8.0666666666666664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1</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3</v>
      </c>
      <c r="B12" s="750" t="s">
        <v>324</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185</v>
      </c>
      <c r="O12" s="553"/>
      <c r="P12" s="553"/>
      <c r="Q12" s="551">
        <f>IF(ISNUMBER(Datos!P12),Datos!P12,0)</f>
        <v>462</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266</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92</v>
      </c>
      <c r="AI12" s="553" t="str">
        <f>IF(ISNUMBER(Datos!CD12),Datos!CD12,"-")</f>
        <v>-</v>
      </c>
      <c r="AJ12" s="553" t="str">
        <f>IF(ISNUMBER(Datos!EN12),Datos!EN12," - ")</f>
        <v xml:space="preserve"> - </v>
      </c>
      <c r="AK12" s="553"/>
      <c r="AL12" s="554"/>
      <c r="AM12" s="771">
        <f>IF(ISNUMBER(Datos!R12),Datos!R12," - ")</f>
        <v>3086</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502</v>
      </c>
      <c r="BD12" s="697">
        <f>IF(ISNUMBER(Datos!N12),Datos!N12," - ")</f>
        <v>1409</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0.87651888341543516</v>
      </c>
      <c r="BH12" s="769">
        <f>IF(ISNUMBER(((IF(J_V="SI",Datos!L12/Datos!K12,(Datos!L12+Datos!AB12)/(Datos!K12+Datos!AA12)))*11)/factor_trimestre),((IF(J_V="SI",Datos!L12/Datos!K12,(Datos!L12+Datos!AB12)/(Datos!K12+Datos!AA12)))*11)/factor_trimestre," - ")</f>
        <v>6.1697264893218433</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6.7820069204152247E-2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3</v>
      </c>
      <c r="F14" s="1200">
        <f t="shared" si="1"/>
        <v>10</v>
      </c>
      <c r="G14" s="1200">
        <f t="shared" si="1"/>
        <v>25</v>
      </c>
      <c r="H14" s="1201">
        <f t="shared" si="1"/>
        <v>0</v>
      </c>
      <c r="I14" s="1200">
        <f t="shared" si="1"/>
        <v>0</v>
      </c>
      <c r="J14" s="1167">
        <f t="shared" si="1"/>
        <v>0</v>
      </c>
      <c r="K14" s="1167">
        <f t="shared" si="1"/>
        <v>0</v>
      </c>
      <c r="L14" s="1201">
        <f t="shared" si="1"/>
        <v>0</v>
      </c>
      <c r="M14" s="1201">
        <f t="shared" si="1"/>
        <v>0</v>
      </c>
      <c r="N14" s="1201">
        <f t="shared" si="1"/>
        <v>185</v>
      </c>
      <c r="O14" s="1202">
        <f t="shared" si="1"/>
        <v>0</v>
      </c>
      <c r="P14" s="1202">
        <f t="shared" si="1"/>
        <v>0</v>
      </c>
      <c r="Q14" s="1201">
        <f t="shared" si="1"/>
        <v>463</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15</v>
      </c>
      <c r="AC14" s="1201">
        <f t="shared" si="2"/>
        <v>266</v>
      </c>
      <c r="AD14" s="1201">
        <f t="shared" si="2"/>
        <v>0</v>
      </c>
      <c r="AE14" s="1201">
        <f t="shared" si="2"/>
        <v>0</v>
      </c>
      <c r="AF14" s="1201">
        <f t="shared" si="2"/>
        <v>11</v>
      </c>
      <c r="AG14" s="1201">
        <f t="shared" si="2"/>
        <v>0</v>
      </c>
      <c r="AH14" s="1201">
        <f t="shared" si="2"/>
        <v>92</v>
      </c>
      <c r="AI14" s="1201">
        <f t="shared" si="2"/>
        <v>0</v>
      </c>
      <c r="AJ14" s="1201">
        <f t="shared" si="2"/>
        <v>0</v>
      </c>
      <c r="AK14" s="1201">
        <f t="shared" si="2"/>
        <v>0</v>
      </c>
      <c r="AL14" s="1201">
        <f t="shared" si="2"/>
        <v>0</v>
      </c>
      <c r="AM14" s="1201">
        <f t="shared" si="2"/>
        <v>3088</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510</v>
      </c>
      <c r="BD14" s="1201">
        <f t="shared" si="2"/>
        <v>1410</v>
      </c>
      <c r="BE14" s="1201">
        <f t="shared" si="2"/>
        <v>0</v>
      </c>
      <c r="BF14" s="1201">
        <f t="shared" si="2"/>
        <v>0</v>
      </c>
      <c r="BG14" s="1201">
        <f>IF(ISNUMBER(Datos!K14/Datos!J14),Datos!K14/Datos!J14," - ")</f>
        <v>0.87656467315716269</v>
      </c>
      <c r="BH14" s="1205">
        <f>IF(ISNUMBER(((Datos!L14/Datos!K14)*11)/factor_trimestre),((Datos!L14/Datos!K14)*11)/factor_trimestre," - ")</f>
        <v>6.1785005950019833</v>
      </c>
      <c r="BI14" s="1201">
        <f>IF(ISNUMBER('Resol  Asuntos'!D14/NºAsuntos!G14),'Resol  Asuntos'!D14/NºAsuntos!G14," - ")</f>
        <v>0.19001490312965721</v>
      </c>
      <c r="BJ14" s="1201" t="str">
        <f>IF(ISNUMBER(Datos!CI14/Datos!CJ14),Datos!CI14/Datos!CJ14," - ")</f>
        <v xml:space="preserve"> - </v>
      </c>
      <c r="BK14" s="1201">
        <f>SUBTOTAL(9,BK8:BK13)</f>
        <v>0</v>
      </c>
      <c r="BL14" s="1201">
        <f>IF(ISNUMBER((I14-AB14+L14)/(F14)),(I14-AB14+L14)/(F14)," - ")</f>
        <v>-1.5</v>
      </c>
      <c r="BM14" s="1206">
        <f>SUBTOTAL(9,BM9:BM13)</f>
        <v>1.0678200692041522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3</v>
      </c>
      <c r="B17" s="741" t="s">
        <v>515</v>
      </c>
      <c r="C17" s="754" t="str">
        <f>Datos!A17</f>
        <v xml:space="preserve">Jdos. 1ª Instª. e Instr.                        </v>
      </c>
      <c r="D17" s="755"/>
      <c r="E17" s="746">
        <f>IF(ISNUMBER(Datos!AQ17),Datos!AQ17," - ")</f>
        <v>3</v>
      </c>
      <c r="F17" s="744">
        <f>IF(ISNUMBER(AF17+AB17-Datos!J17-L17),AF17+AB17-Datos!J17-L17," - ")</f>
        <v>612</v>
      </c>
      <c r="G17" s="747">
        <f>IF(ISNUMBER(IF(D_I="SI",Datos!I17,Datos!I17+Datos!AC17)),IF(D_I="SI",Datos!I17,Datos!I17+Datos!AC17)," - ")</f>
        <v>617</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106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2588</v>
      </c>
      <c r="AC17" s="240">
        <f>IF(ISNUMBER(Datos!Q17),Datos!Q17," - ")</f>
        <v>102</v>
      </c>
      <c r="AD17" s="374"/>
      <c r="AE17" s="566"/>
      <c r="AF17" s="745">
        <f>IF(ISNUMBER(IF(D_I="SI",Datos!L17,Datos!L17+Datos!AF17)),IF(D_I="SI",Datos!L17,Datos!L17+Datos!AF17)," - ")</f>
        <v>542</v>
      </c>
      <c r="AG17" s="374"/>
      <c r="AH17" s="374"/>
      <c r="AI17" s="374"/>
      <c r="AJ17" s="553"/>
      <c r="AK17" s="374"/>
      <c r="AL17" s="549"/>
      <c r="AM17" s="375">
        <f>IF(ISNUMBER(Datos!R17),Datos!R17," - ")</f>
        <v>134</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432</v>
      </c>
      <c r="BD17" s="243">
        <f>IF(ISNUMBER(Datos!N17),Datos!N17," - ")</f>
        <v>1752</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1.027799841143765</v>
      </c>
      <c r="BH17" s="769">
        <f>IF(ISNUMBER(((IF(D_I="SI",Datos!L17/Datos!K17,(Datos!L17+Datos!AF17)/(Datos!K17+Datos!AE17)))*11)/factor_trimestre),((IF(D_I="SI",Datos!L17/Datos!K17,(Datos!L17+Datos!AF17)/(Datos!K17+Datos!AE17)))*11)/factor_trimestre," - ")</f>
        <v>2.3037094281298298</v>
      </c>
      <c r="BI17" s="266">
        <f>IF(ISNUMBER('Resol  Asuntos'!D17/NºAsuntos!G17),'Resol  Asuntos'!D17/NºAsuntos!G17," - ")</f>
        <v>0.16692426584234932</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5</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18</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173</v>
      </c>
      <c r="AC18" s="551">
        <f>IF(ISNUMBER(Datos!Q18),Datos!Q18," - ")</f>
        <v>17</v>
      </c>
      <c r="AD18" s="553"/>
      <c r="AE18" s="566"/>
      <c r="AF18" s="555">
        <f>IF(ISNUMBER(Datos!L18),Datos!L18,"-")</f>
        <v>41</v>
      </c>
      <c r="AG18" s="553"/>
      <c r="AH18" s="553"/>
      <c r="AI18" s="553"/>
      <c r="AJ18" s="553"/>
      <c r="AK18" s="553"/>
      <c r="AL18" s="554"/>
      <c r="AM18" s="771">
        <f>IF(ISNUMBER(Datos!R18),Datos!R18," - ")</f>
        <v>16</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68</v>
      </c>
      <c r="BD18" s="697">
        <f>IF(ISNUMBER(Datos!N18),Datos!N18," - ")</f>
        <v>148</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0.82775119617224879</v>
      </c>
      <c r="BH18" s="769">
        <f>IF(ISNUMBER(((IF(D_I="SI",Datos!L18/Datos!K18,(Datos!L18+Datos!AF18)/(Datos!K18+Datos!AE18)))*11)/factor_trimestre),((IF(D_I="SI",Datos!L18/Datos!K18,(Datos!L18+Datos!AF18)/(Datos!K18+Datos!AE18)))*11)/factor_trimestre," - ")</f>
        <v>2.6069364161849711</v>
      </c>
      <c r="BI18" s="768">
        <f>IF(ISNUMBER('Resol  Asuntos'!D18/NºAsuntos!G18),'Resol  Asuntos'!D18/NºAsuntos!G18," - ")</f>
        <v>0.39306358381502893</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3</v>
      </c>
      <c r="F23" s="1200">
        <f>SUBTOTAL(9,F16:F22)</f>
        <v>612</v>
      </c>
      <c r="G23" s="1200">
        <f>SUBTOTAL(9,G16:G22)</f>
        <v>622</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124</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2761</v>
      </c>
      <c r="AC23" s="1201">
        <f t="shared" si="5"/>
        <v>119</v>
      </c>
      <c r="AD23" s="1201">
        <f t="shared" si="5"/>
        <v>0</v>
      </c>
      <c r="AE23" s="1201">
        <f t="shared" si="5"/>
        <v>0</v>
      </c>
      <c r="AF23" s="1201">
        <f t="shared" si="5"/>
        <v>583</v>
      </c>
      <c r="AG23" s="1201">
        <f t="shared" si="5"/>
        <v>0</v>
      </c>
      <c r="AH23" s="1201">
        <f t="shared" si="5"/>
        <v>0</v>
      </c>
      <c r="AI23" s="1201">
        <f t="shared" si="5"/>
        <v>0</v>
      </c>
      <c r="AJ23" s="1201">
        <f t="shared" si="5"/>
        <v>0</v>
      </c>
      <c r="AK23" s="1201">
        <f t="shared" si="5"/>
        <v>0</v>
      </c>
      <c r="AL23" s="1201">
        <f t="shared" si="5"/>
        <v>0</v>
      </c>
      <c r="AM23" s="1201">
        <f t="shared" si="5"/>
        <v>150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500</v>
      </c>
      <c r="BD23" s="1201">
        <f t="shared" si="5"/>
        <v>1900</v>
      </c>
      <c r="BE23" s="1201">
        <f t="shared" si="5"/>
        <v>0</v>
      </c>
      <c r="BF23" s="1201">
        <f t="shared" si="5"/>
        <v>0</v>
      </c>
      <c r="BG23" s="1201">
        <f>IF(ISNUMBER(Datos!K23/Datos!J23),Datos!K23/Datos!J23," - ")</f>
        <v>1.0124679134580126</v>
      </c>
      <c r="BH23" s="1205">
        <f>IF(ISNUMBER(((Datos!L23/Datos!K23)*11)/factor_trimestre),((Datos!L23/Datos!K23)*11)/factor_trimestre," - ")</f>
        <v>2.3227091633466137</v>
      </c>
      <c r="BI23" s="1201">
        <f>SUBTOTAL(9,BI16:BI22)</f>
        <v>0.55998784965737824</v>
      </c>
      <c r="BJ23" s="1201">
        <f>SUBTOTAL(9,BJ16:BJ22)</f>
        <v>0</v>
      </c>
      <c r="BK23" s="1201">
        <f>SUBTOTAL(9,BK16:BK22)</f>
        <v>0</v>
      </c>
      <c r="BL23" s="1201">
        <f>IF(ISNUMBER((I23-AB23+L23)/(F23)),(I23-AB23+L23)/(F23)," - ")</f>
        <v>-4.511437908496732</v>
      </c>
      <c r="BM23" s="1208">
        <f>IF(ISNUMBER((Datos!P23-Datos!Q23)/(Datos!R23-Datos!P23+Datos!Q23)),(Datos!P23-Datos!Q23)/(Datos!R23-Datos!P23+Datos!Q23)," - ")</f>
        <v>3.4482758620689655E-2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6</v>
      </c>
      <c r="F31" s="1120">
        <f t="shared" si="16"/>
        <v>622</v>
      </c>
      <c r="G31" s="1120">
        <f t="shared" si="16"/>
        <v>647</v>
      </c>
      <c r="H31" s="1122">
        <f t="shared" si="16"/>
        <v>0</v>
      </c>
      <c r="I31" s="1120">
        <f t="shared" si="16"/>
        <v>0</v>
      </c>
      <c r="J31" s="1122">
        <f t="shared" si="16"/>
        <v>0</v>
      </c>
      <c r="K31" s="1122">
        <f t="shared" si="16"/>
        <v>0</v>
      </c>
      <c r="L31" s="1183">
        <f t="shared" si="16"/>
        <v>0</v>
      </c>
      <c r="M31" s="1183">
        <f t="shared" si="16"/>
        <v>0</v>
      </c>
      <c r="N31" s="1183">
        <f t="shared" si="16"/>
        <v>185</v>
      </c>
      <c r="O31" s="1183">
        <f t="shared" si="16"/>
        <v>0</v>
      </c>
      <c r="P31" s="1183">
        <f t="shared" si="16"/>
        <v>0</v>
      </c>
      <c r="Q31" s="1122">
        <f t="shared" si="16"/>
        <v>587</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2776</v>
      </c>
      <c r="AC31" s="1121">
        <f t="shared" si="17"/>
        <v>385</v>
      </c>
      <c r="AD31" s="1121">
        <f t="shared" si="17"/>
        <v>0</v>
      </c>
      <c r="AE31" s="1121">
        <f t="shared" si="17"/>
        <v>0</v>
      </c>
      <c r="AF31" s="1128">
        <f t="shared" si="17"/>
        <v>594</v>
      </c>
      <c r="AG31" s="1128">
        <f t="shared" si="17"/>
        <v>0</v>
      </c>
      <c r="AH31" s="1128">
        <f t="shared" si="17"/>
        <v>92</v>
      </c>
      <c r="AI31" s="1128">
        <f t="shared" si="17"/>
        <v>0</v>
      </c>
      <c r="AJ31" s="1121">
        <f t="shared" si="17"/>
        <v>0</v>
      </c>
      <c r="AK31" s="1128">
        <f t="shared" si="17"/>
        <v>0</v>
      </c>
      <c r="AL31" s="1128">
        <f t="shared" si="17"/>
        <v>0</v>
      </c>
      <c r="AM31" s="1128">
        <f t="shared" si="17"/>
        <v>3238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1010</v>
      </c>
      <c r="BD31" s="1120">
        <f t="shared" si="17"/>
        <v>3310</v>
      </c>
      <c r="BE31" s="1120">
        <f t="shared" si="17"/>
        <v>0</v>
      </c>
      <c r="BF31" s="1130">
        <f t="shared" si="17"/>
        <v>0</v>
      </c>
      <c r="BG31" s="1227">
        <f>IF(ISNUMBER(Datos!K31/Datos!J31),Datos!K31/Datos!J31," - ")</f>
        <v>0.94270926289487778</v>
      </c>
      <c r="BH31" s="1227">
        <f>IF(ISNUMBER(((Datos!L31/Datos!K31)*11)/factor_trimestre),((Datos!L31/Datos!K31)*11)/factor_trimestre," - ")</f>
        <v>4.1630064369556985</v>
      </c>
      <c r="BI31" s="1106">
        <f>IF(ISNUMBER(Datos!J31/Datos!I31),Datos!J31/Datos!I31," - ")</f>
        <v>2.8269424823410696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-4.463022508038585</v>
      </c>
      <c r="BM31" s="1191">
        <f>IF(ISNUMBER((Datos!P31-Datos!Q31+R31)/(Datos!R31-Datos!P31+Datos!Q31-R31)),(Datos!P31-Datos!Q31+R31)/(Datos!R31-Datos!P31+Datos!Q31-R31)," - ")</f>
        <v>6.6534914361001313E-2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184.85714285714286</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1.2565617248750864</v>
      </c>
      <c r="F33" s="677">
        <f>IF(ISNUMBER(STDEV(F8:F30)),STDEV(F8:F30),"-")</f>
        <v>313.48535319320212</v>
      </c>
      <c r="G33" s="678">
        <f>IF(ISNUMBER(STDEV(G8:G30)),STDEV(G8:G30),"-")</f>
        <v>297.10908690884821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1287.6150341582986</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251.6704193980691</v>
      </c>
      <c r="BD33" s="677"/>
      <c r="BE33" s="677">
        <f>IF(ISNUMBER(STDEV(BE8:BE30)),STDEV(BE8:BE30),"-")</f>
        <v>0</v>
      </c>
      <c r="BF33" s="682">
        <f>IF(ISNUMBER(STDEV(BF8:BF30)),STDEV(BF8:BF30),"-")</f>
        <v>0</v>
      </c>
      <c r="BG33" s="1055">
        <f>IF(ISNUMBER(STDEV(BG8:BG30)),STDEV(BG8:BG30),"-")</f>
        <v>8.064253067213023E-2</v>
      </c>
      <c r="BH33" s="1061">
        <f>IF(ISNUMBER(STDEV(BH8:BH30)),STDEV(BH8:BH30),"-")</f>
        <v>2.5061684524916137</v>
      </c>
      <c r="BI33" s="273">
        <f>IF(ISNUMBER(STDEV(BI8:BI30)),STDEV(BI8:BI30),"-")</f>
        <v>0.18532485172494592</v>
      </c>
      <c r="BJ33" s="244" t="str">
        <f>IF(ISNUMBER(BL33/BM33),BL33/BM33," - ")</f>
        <v xml:space="preserve"> - </v>
      </c>
      <c r="BK33" s="713"/>
      <c r="BL33" s="685">
        <f>IF(ISNUMBER(STDEV(BL8:BL30)),STDEV(BL8:BL30),"-")</f>
        <v>2.1294081662202733</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hedD67wLZhoGXV+bnwUopKFgbIOP4XJatHq5xSXH059Vhzx+mwcxSvR90GrDRFpCb+cbkDd0O3XBvSK4Tr/nXw==" saltValue="w9o7lnb5xHRQ4XCjqGs8U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ARUCAS</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10</v>
      </c>
      <c r="G10" s="556">
        <f>IF(ISNUMBER(Datos!I10),Datos!I10," - ")</f>
        <v>25</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15</v>
      </c>
      <c r="Z10" s="810">
        <f>IF(ISNUMBER(Datos!Q10),Datos!Q10," - ")</f>
        <v>0</v>
      </c>
      <c r="AA10" s="555">
        <f>IF(ISNUMBER(Datos!L10),Datos!L10,"-")</f>
        <v>11</v>
      </c>
      <c r="AB10" s="553"/>
      <c r="AC10" s="553"/>
      <c r="AD10" s="567"/>
      <c r="AE10" s="567">
        <f>IF(ISNUMBER(Datos!R10),Datos!R10," - ")</f>
        <v>2</v>
      </c>
      <c r="AF10" s="697" t="str">
        <f>IF(ISNUMBER(Datos!BV10),Datos!BV10," - ")</f>
        <v xml:space="preserve"> - </v>
      </c>
      <c r="AG10" s="556" t="str">
        <f>IF(ISNUMBER(Datos!DV10),Datos!DV10," - ")</f>
        <v xml:space="preserve"> - </v>
      </c>
      <c r="AH10" s="557"/>
      <c r="AI10" s="558"/>
      <c r="AJ10" s="556">
        <f>IF(ISNUMBER(Datos!M10),Datos!M10," - ")</f>
        <v>8</v>
      </c>
      <c r="AK10" s="697">
        <f>IF(ISNUMBER(Datos!N10),Datos!N10," - ")</f>
        <v>1</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8.0666666666666664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1</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3</v>
      </c>
      <c r="B12" s="750" t="s">
        <v>324</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462</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266</v>
      </c>
      <c r="AA12" s="555" t="str">
        <f>IF(ISNUMBER(IF(J_V="SI",Datos!L12,Datos!L12+Datos!AB12)-IF(Monitorios="SI",Datos!CD12,0)),
                          IF(J_V="SI",Datos!L12,Datos!L12+Datos!AB12)-IF(Monitorios="SI",Datos!CD12,0),
                          " - ")</f>
        <v xml:space="preserve"> - </v>
      </c>
      <c r="AB12" s="553"/>
      <c r="AC12" s="553"/>
      <c r="AD12" s="567"/>
      <c r="AE12" s="567">
        <f>IF(ISNUMBER(Datos!R12),Datos!R12," - ")</f>
        <v>3086</v>
      </c>
      <c r="AF12" s="697" t="str">
        <f>IF(ISNUMBER(Datos!BV12),Datos!BV12," - ")</f>
        <v xml:space="preserve"> - </v>
      </c>
      <c r="AG12" s="556" t="str">
        <f>IF(ISNUMBER(Datos!DV12),Datos!DV12," - ")</f>
        <v xml:space="preserve"> - </v>
      </c>
      <c r="AH12" s="557"/>
      <c r="AI12" s="558"/>
      <c r="AJ12" s="556">
        <f>IF(ISNUMBER(Datos!M12),Datos!M12," - ")</f>
        <v>502</v>
      </c>
      <c r="AK12" s="697">
        <f>IF(ISNUMBER(Datos!N12),Datos!N12," - ")</f>
        <v>1409</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6.1697264893218433</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6.7820069204152247E-2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3</v>
      </c>
      <c r="F14" s="1200">
        <f>SUBTOTAL(9,F8:F13)</f>
        <v>10</v>
      </c>
      <c r="G14" s="1200">
        <f>SUBTOTAL(9,G8:G13)</f>
        <v>25</v>
      </c>
      <c r="H14" s="1214"/>
      <c r="I14" s="1200">
        <f t="shared" ref="I14:N14" si="1">SUBTOTAL(9,I8:I13)</f>
        <v>0</v>
      </c>
      <c r="J14" s="1167">
        <f t="shared" si="1"/>
        <v>0</v>
      </c>
      <c r="K14" s="1214">
        <f t="shared" si="1"/>
        <v>0</v>
      </c>
      <c r="L14" s="1214">
        <f t="shared" si="1"/>
        <v>0</v>
      </c>
      <c r="M14" s="1214">
        <f t="shared" si="1"/>
        <v>0</v>
      </c>
      <c r="N14" s="1214">
        <f t="shared" si="1"/>
        <v>463</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15</v>
      </c>
      <c r="Z14" s="1213">
        <f t="shared" si="3"/>
        <v>266</v>
      </c>
      <c r="AA14" s="1202">
        <f t="shared" si="3"/>
        <v>11</v>
      </c>
      <c r="AB14" s="1202">
        <f t="shared" si="3"/>
        <v>0</v>
      </c>
      <c r="AC14" s="1202">
        <f t="shared" si="3"/>
        <v>0</v>
      </c>
      <c r="AD14" s="1202">
        <f t="shared" si="3"/>
        <v>0</v>
      </c>
      <c r="AE14" s="1202">
        <f t="shared" si="3"/>
        <v>3088</v>
      </c>
      <c r="AF14" s="1214">
        <f t="shared" si="3"/>
        <v>0</v>
      </c>
      <c r="AG14" s="1214">
        <f t="shared" si="3"/>
        <v>0</v>
      </c>
      <c r="AH14" s="1214">
        <f t="shared" si="3"/>
        <v>0</v>
      </c>
      <c r="AI14" s="1214">
        <f t="shared" si="3"/>
        <v>0</v>
      </c>
      <c r="AJ14" s="1214">
        <f t="shared" si="3"/>
        <v>510</v>
      </c>
      <c r="AK14" s="1214">
        <f t="shared" si="3"/>
        <v>1410</v>
      </c>
      <c r="AL14" s="1214">
        <f t="shared" si="3"/>
        <v>0</v>
      </c>
      <c r="AM14" s="1214">
        <f t="shared" si="3"/>
        <v>0</v>
      </c>
      <c r="AN14" s="1214">
        <f t="shared" si="3"/>
        <v>0</v>
      </c>
      <c r="AO14" s="1206">
        <f>IF(ISNUMBER(((NºAsuntos!I14/NºAsuntos!G14)*11)/factor_trimestre),((NºAsuntos!I14/NºAsuntos!G14)*11)/factor_trimestre," - ")</f>
        <v>6.1803278688524586</v>
      </c>
      <c r="AP14" s="1216" t="str">
        <f>IF(ISNUMBER(Datos!CI14/Datos!CJ14),Datos!CI14/Datos!CJ14," - ")</f>
        <v xml:space="preserve"> - </v>
      </c>
      <c r="AQ14" s="1240">
        <f>SUBTOTAL(9,AQ9:AQ13)</f>
        <v>0</v>
      </c>
      <c r="AR14" s="1240">
        <f>SUBTOTAL(9,AR9:AR13)</f>
        <v>1.0678200692041522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3</v>
      </c>
      <c r="B17" s="750" t="s">
        <v>515</v>
      </c>
      <c r="C17" s="770" t="str">
        <f>Datos!A17</f>
        <v xml:space="preserve">Jdos. 1ª Instª. e Instr.                        </v>
      </c>
      <c r="D17" s="597"/>
      <c r="E17" s="752">
        <f>IF(ISNUMBER(Datos!AQ17),Datos!AQ17," - ")</f>
        <v>3</v>
      </c>
      <c r="F17" s="547">
        <f>IF(ISNUMBER(AA17+Y17-Datos!J17-K16),AA17+Y17-Datos!J17-K16," - ")</f>
        <v>612</v>
      </c>
      <c r="G17" s="556">
        <f>IF(ISNUMBER(IF(D_I="SI",Datos!I17,Datos!I17+Datos!AC17)),IF(D_I="SI",Datos!I17,Datos!I17+Datos!AC17)," - ")</f>
        <v>617</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106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2588</v>
      </c>
      <c r="Z17" s="810">
        <f>IF(ISNUMBER(Datos!Q17),Datos!Q17," - ")</f>
        <v>102</v>
      </c>
      <c r="AA17" s="555">
        <f>IF(ISNUMBER(IF(D_I="SI",Datos!L17,Datos!L17+Datos!AF17)),IF(D_I="SI",Datos!L17,Datos!L17+Datos!AF17)," - ")</f>
        <v>542</v>
      </c>
      <c r="AB17" s="553"/>
      <c r="AC17" s="553"/>
      <c r="AD17" s="567"/>
      <c r="AE17" s="567">
        <f>IF(ISNUMBER(Datos!R17),Datos!R17," - ")</f>
        <v>134</v>
      </c>
      <c r="AF17" s="697" t="str">
        <f>IF(ISNUMBER(Datos!BV17),Datos!BV17," - ")</f>
        <v xml:space="preserve"> - </v>
      </c>
      <c r="AG17" s="556"/>
      <c r="AH17" s="557"/>
      <c r="AI17" s="558"/>
      <c r="AJ17" s="556">
        <f>IF(ISNUMBER(Datos!M17),Datos!M17," - ")</f>
        <v>432</v>
      </c>
      <c r="AK17" s="697">
        <f>IF(ISNUMBER(Datos!N17),Datos!N17," - ")</f>
        <v>1752</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2.3037094281298298</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5</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18</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173</v>
      </c>
      <c r="Z18" s="810">
        <f>IF(ISNUMBER(Datos!Q18),Datos!Q18," - ")</f>
        <v>17</v>
      </c>
      <c r="AA18" s="555">
        <f>IF(ISNUMBER(Datos!L18),Datos!L18,"-")</f>
        <v>41</v>
      </c>
      <c r="AB18" s="553"/>
      <c r="AC18" s="553"/>
      <c r="AD18" s="567"/>
      <c r="AE18" s="567">
        <f>IF(ISNUMBER(Datos!R18),Datos!R18," - ")</f>
        <v>16</v>
      </c>
      <c r="AF18" s="697" t="str">
        <f>IF(ISNUMBER(Datos!BV18),Datos!BV18," - ")</f>
        <v xml:space="preserve"> - </v>
      </c>
      <c r="AG18" s="556" t="str">
        <f>IF(ISNUMBER(Datos!DV18),Datos!DV18," - ")</f>
        <v xml:space="preserve"> - </v>
      </c>
      <c r="AH18" s="557"/>
      <c r="AI18" s="558"/>
      <c r="AJ18" s="556">
        <f>IF(ISNUMBER(Datos!M18),Datos!M18," - ")</f>
        <v>68</v>
      </c>
      <c r="AK18" s="697">
        <f>IF(ISNUMBER(Datos!N18),Datos!N18," - ")</f>
        <v>148</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2.6069364161849711</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3</v>
      </c>
      <c r="F23" s="1200">
        <f>SUBTOTAL(9,F16:F22)</f>
        <v>612</v>
      </c>
      <c r="G23" s="1200">
        <f>SUBTOTAL(9,G16:G22)</f>
        <v>622</v>
      </c>
      <c r="H23" s="1245">
        <f>SUBTOTAL(9,H16:H22)</f>
        <v>0</v>
      </c>
      <c r="I23" s="1220">
        <f>SUBTOTAL(9,I16:I22)</f>
        <v>0</v>
      </c>
      <c r="J23" s="1167">
        <f>SUBTOTAL(9,J15:J22)</f>
        <v>0</v>
      </c>
      <c r="K23" s="1245">
        <f t="shared" ref="K23:S23" si="4">SUBTOTAL(9,K16:K22)</f>
        <v>0</v>
      </c>
      <c r="L23" s="1245">
        <f t="shared" si="4"/>
        <v>0</v>
      </c>
      <c r="M23" s="1245">
        <f t="shared" si="4"/>
        <v>0</v>
      </c>
      <c r="N23" s="1245">
        <f t="shared" si="4"/>
        <v>124</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2761</v>
      </c>
      <c r="Z23" s="1245">
        <f t="shared" si="5"/>
        <v>119</v>
      </c>
      <c r="AA23" s="1245">
        <f t="shared" si="5"/>
        <v>583</v>
      </c>
      <c r="AB23" s="1245">
        <f t="shared" si="5"/>
        <v>0</v>
      </c>
      <c r="AC23" s="1245">
        <f t="shared" si="5"/>
        <v>0</v>
      </c>
      <c r="AD23" s="1245">
        <f t="shared" si="5"/>
        <v>0</v>
      </c>
      <c r="AE23" s="1245">
        <f t="shared" si="5"/>
        <v>150</v>
      </c>
      <c r="AF23" s="1245">
        <f t="shared" si="5"/>
        <v>0</v>
      </c>
      <c r="AG23" s="1245">
        <f t="shared" si="5"/>
        <v>0</v>
      </c>
      <c r="AH23" s="1245">
        <f t="shared" si="5"/>
        <v>0</v>
      </c>
      <c r="AI23" s="1245">
        <f t="shared" si="5"/>
        <v>0</v>
      </c>
      <c r="AJ23" s="1245">
        <f t="shared" si="5"/>
        <v>500</v>
      </c>
      <c r="AK23" s="1245">
        <f t="shared" si="5"/>
        <v>1900</v>
      </c>
      <c r="AL23" s="1245">
        <f t="shared" si="5"/>
        <v>0</v>
      </c>
      <c r="AM23" s="1245">
        <f t="shared" si="5"/>
        <v>0</v>
      </c>
      <c r="AN23" s="1245">
        <f t="shared" si="5"/>
        <v>0</v>
      </c>
      <c r="AO23" s="1247">
        <f>IF(ISNUMBER(((NºAsuntos!I23/NºAsuntos!G23)*11)/factor_trimestre),((NºAsuntos!I23/NºAsuntos!G23)*11)/factor_trimestre," - ")</f>
        <v>2.3227091633466137</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6</v>
      </c>
      <c r="F31" s="1120">
        <f t="shared" si="10"/>
        <v>622</v>
      </c>
      <c r="G31" s="1120">
        <f t="shared" si="10"/>
        <v>647</v>
      </c>
      <c r="H31" s="1121">
        <f t="shared" si="10"/>
        <v>0</v>
      </c>
      <c r="I31" s="1120">
        <f t="shared" si="10"/>
        <v>0</v>
      </c>
      <c r="J31" s="1122">
        <f t="shared" si="10"/>
        <v>0</v>
      </c>
      <c r="K31" s="1120">
        <f t="shared" si="10"/>
        <v>0</v>
      </c>
      <c r="L31" s="1123">
        <f t="shared" si="10"/>
        <v>0</v>
      </c>
      <c r="M31" s="1120">
        <f t="shared" si="10"/>
        <v>0</v>
      </c>
      <c r="N31" s="1121">
        <f t="shared" si="10"/>
        <v>587</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2776</v>
      </c>
      <c r="Z31" s="1127">
        <f t="shared" si="11"/>
        <v>385</v>
      </c>
      <c r="AA31" s="1128">
        <f t="shared" si="11"/>
        <v>594</v>
      </c>
      <c r="AB31" s="1128">
        <f t="shared" si="11"/>
        <v>0</v>
      </c>
      <c r="AC31" s="1128">
        <f t="shared" si="11"/>
        <v>0</v>
      </c>
      <c r="AD31" s="1129">
        <f t="shared" si="11"/>
        <v>0</v>
      </c>
      <c r="AE31" s="1129">
        <f t="shared" si="11"/>
        <v>3238</v>
      </c>
      <c r="AF31" s="1130">
        <f t="shared" si="11"/>
        <v>0</v>
      </c>
      <c r="AG31" s="1131">
        <f t="shared" si="11"/>
        <v>0</v>
      </c>
      <c r="AH31" s="1132">
        <f t="shared" si="11"/>
        <v>0</v>
      </c>
      <c r="AI31" s="1130">
        <f t="shared" si="11"/>
        <v>0</v>
      </c>
      <c r="AJ31" s="1120">
        <f t="shared" si="11"/>
        <v>1010</v>
      </c>
      <c r="AK31" s="1120">
        <f t="shared" si="11"/>
        <v>3310</v>
      </c>
      <c r="AL31" s="1120">
        <f t="shared" si="11"/>
        <v>0</v>
      </c>
      <c r="AM31" s="1133">
        <f t="shared" si="11"/>
        <v>0</v>
      </c>
      <c r="AN31" s="1123">
        <f>IF(ISNUMBER(Datos!K31/Datos!J31),Datos!K31/Datos!J31," - ")</f>
        <v>0.94270926289487778</v>
      </c>
      <c r="AO31" s="1123">
        <f>IF(ISNUMBER(FIND("06",Criterios!A8,1)),(IF(ISNUMBER(((Datos!R31/Datos!Q31)*11)/factor_trimestre),((Datos!R31/Datos!Q31)*11)/factor_trimestre," - ")),(IF(ISNUMBER(((Datos!L31/Datos!K31)*11)/factor_trimestre),((Datos!L31/Datos!K31)*11)/factor_trimestre," - ")))</f>
        <v>4.1630064369556985</v>
      </c>
      <c r="AP31" s="1134" t="str">
        <f>IF(ISNUMBER(Datos!CI31/Datos!CJ31),Datos!CI31/Datos!CJ31," - ")</f>
        <v xml:space="preserve"> - </v>
      </c>
      <c r="AQ31" s="1134">
        <f>IF(OR(ISNUMBER(FIND("01",Criterios!A8,1)),ISNUMBER(FIND("02",Criterios!A8,1)),ISNUMBER(FIND("03",Criterios!A8,1)),ISNUMBER(FIND("04",Criterios!A8,1))),(J31-Y31+K31)/(F31-K31),(I31-Y31+K31)/(F31-K31))</f>
        <v>-4.463022508038585</v>
      </c>
      <c r="AR31" s="1134">
        <f>IF(ISNUMBER((Datos!P31-Datos!Q31+O31)/(Datos!R31-Datos!P31+Datos!Q31-O31)),(Datos!P31-Datos!Q31+O31)/(Datos!R31-Datos!P31+Datos!Q31-O31)," - ")</f>
        <v>6.6534914361001313E-2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184.85714285714286</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313.48535319320212</v>
      </c>
      <c r="G33" s="678">
        <f>IF(ISNUMBER(STDEV(G8:G30)),STDEV(G8:G30),"-")</f>
        <v>297.10908690884821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251.6704193980691</v>
      </c>
      <c r="AK33" s="276"/>
      <c r="AL33" s="276">
        <f>IF(ISNUMBER(STDEV(AL8:AL30)),STDEV(AL8:AL30),"-")</f>
        <v>0</v>
      </c>
      <c r="AM33" s="278">
        <f>IF(ISNUMBER(STDEV(AM8:AM30)),STDEV(AM8:AM30),"-")</f>
        <v>0</v>
      </c>
      <c r="AN33" s="664">
        <f>IF(ISNUMBER(STDEV(AN8:AN30)),STDEV(AN8:AN30),"-")</f>
        <v>0</v>
      </c>
      <c r="AO33" s="665">
        <f>IF(ISNUMBER(STDEV(AO8:AO30)),STDEV(AO8:AO30),"-")</f>
        <v>2.5063975607067857</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a2RPazCCdf/iIPTvecwsmeidztdRIJoRPWSMFvPSo+WZ4AUMPqCiya1C7myxiBZ9U8lFiq+5wqnun6UMHjdpGA==" saltValue="+YUozjGNsqIqiAe+p9vnS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134VRC8IACldItvublAIvmMXKiRF1tNJ1aCMow92DYPdGo8Uz4sSjyb6vqQTKekyn9n1NSqKrJUINDgHf0yM7Q==" saltValue="UO2K9gEsY3V9Nsi7lqqG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bAvR1y8FzOeXjruK1NH4vboNwcX1go0yhDYLT/wqGrGooxPtm9LCcZoAcitASGysczGYX6pS831jZ2/atWxKA==" saltValue="VAoJqX3T914UKH8CSdxwF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ARUCAS</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0.19001490312965721</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0.13436082652948556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RYD+sYAO0HXcYoaoYC6nm9HixOniu3Wu8RjWneICcrcGjgWu3FjLe3+JXoE6puYB1aJpdYQ6/v+PySvXMFgKsw==" saltValue="0rs+7XWyH09qLB+DYr8oQ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SZtsO8kNxIpRfODGcBN9XkW7qmRQgc89KXuNk+ZN4oiqGK+8Eylrp8euuXhV/ynytBO+jwfUfNmiHXECUTvbZQ==" saltValue="EPzDwhrn8Tnu/e/D5Js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ARUCAS</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25</v>
      </c>
      <c r="D10" s="453">
        <f>IF(ISNUMBER(C10/Datos!BH10),C10/Datos!BH10," - ")</f>
        <v>25</v>
      </c>
      <c r="E10" s="452">
        <f>IF(ISNUMBER(Datos!J10),Datos!J10," - ")</f>
        <v>16</v>
      </c>
      <c r="F10" s="453">
        <f>IF(ISNUMBER(E10/B10),E10/B10," - ")</f>
        <v>16</v>
      </c>
      <c r="G10" s="452">
        <f>IF(ISNUMBER(Datos!K10),Datos!K10," - ")</f>
        <v>15</v>
      </c>
      <c r="H10" s="453">
        <f>IF(ISNUMBER(G10/B10),G10/B10," - ")</f>
        <v>15</v>
      </c>
      <c r="I10" s="452">
        <f>IF(ISNUMBER(Datos!L10),Datos!L10," - ")</f>
        <v>11</v>
      </c>
      <c r="J10" s="453">
        <f>IF(ISNUMBER(I10/B10),I10/B10," - ")</f>
        <v>11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1404</v>
      </c>
      <c r="D12" s="453">
        <f>IF(ISNUMBER(C12/Datos!BH12),C12/Datos!BH12," - ")</f>
        <v>468</v>
      </c>
      <c r="E12" s="452">
        <f>IF(ISNUMBER(IF(J_V="SI",Datos!J12,Datos!J12+Datos!Z12)),IF(J_V="SI",Datos!J12,Datos!J12+Datos!Z12)," - ")</f>
        <v>3045</v>
      </c>
      <c r="F12" s="453">
        <f>IF(ISNUMBER(E12/B12),E12/B12," - ")</f>
        <v>1015</v>
      </c>
      <c r="G12" s="452">
        <f>IF(ISNUMBER(IF(J_V="SI",Datos!K12,Datos!K12+Datos!AA12)),IF(J_V="SI",Datos!K12,Datos!K12+Datos!AA12)," - ")</f>
        <v>2669</v>
      </c>
      <c r="H12" s="453">
        <f>IF(ISNUMBER(G12/B12),G12/B12," - ")</f>
        <v>889.66666666666663</v>
      </c>
      <c r="I12" s="452">
        <f>IF(ISNUMBER(IF(J_V="SI",Datos!L12,Datos!L12+Datos!AB12)),IF(J_V="SI",Datos!L12,Datos!L12+Datos!AB12)," - ")</f>
        <v>1497</v>
      </c>
      <c r="J12" s="453">
        <f>IF(ISNUMBER(I12/B12),I12/B12," - ")</f>
        <v>499</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1429</v>
      </c>
      <c r="D14" s="1150" t="str">
        <f>IF(ISNUMBER(C14/Datos!BI14),C14/Datos!BI14," - ")</f>
        <v xml:space="preserve"> - </v>
      </c>
      <c r="E14" s="1149">
        <f>SUBTOTAL(9,E8:E13)</f>
        <v>3061</v>
      </c>
      <c r="F14" s="1150">
        <f>IF(ISNUMBER(E14/B14),E14/B14," - ")</f>
        <v>1020.3333333333334</v>
      </c>
      <c r="G14" s="1149">
        <f>SUBTOTAL(9,G8:G13)</f>
        <v>2684</v>
      </c>
      <c r="H14" s="1150">
        <f>IF(ISNUMBER(G14/B14),G14/B14," - ")</f>
        <v>894.66666666666663</v>
      </c>
      <c r="I14" s="1149">
        <f>SUBTOTAL(9,I8:I13)</f>
        <v>1508</v>
      </c>
      <c r="J14" s="1150">
        <f>IF(ISNUMBER(I14/B14),I14/B14," - ")</f>
        <v>502.66666666666669</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617</v>
      </c>
      <c r="D17" s="453">
        <f>IF(ISNUMBER(C17/Datos!BH17),C17/Datos!BH17," - ")</f>
        <v>205.66666666666666</v>
      </c>
      <c r="E17" s="452">
        <f>IF(ISNUMBER(IF(D_I="SI",Datos!J17,Datos!J17+Datos!AD17)),IF(D_I="SI",Datos!J17,Datos!J17+Datos!AD17)," - ")</f>
        <v>2518</v>
      </c>
      <c r="F17" s="453">
        <f>IF(ISNUMBER(E17/B17),E17/B17," - ")</f>
        <v>839.33333333333337</v>
      </c>
      <c r="G17" s="452">
        <f>IF(ISNUMBER(IF(D_I="SI",Datos!K17,Datos!K17+Datos!AE17)),IF(D_I="SI",Datos!K17,Datos!K17+Datos!AE17)," - ")</f>
        <v>2588</v>
      </c>
      <c r="H17" s="453">
        <f>IF(ISNUMBER(G17/B17),G17/B17," - ")</f>
        <v>862.66666666666663</v>
      </c>
      <c r="I17" s="452">
        <f>IF(ISNUMBER(IF(D_I="SI",Datos!L17,Datos!L17+Datos!AF17)),IF(D_I="SI",Datos!L17,Datos!L17+Datos!AF17)," - ")</f>
        <v>542</v>
      </c>
      <c r="J17" s="453">
        <f>IF(ISNUMBER(I17/B17),I17/B17," - ")</f>
        <v>180.66666666666666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5</v>
      </c>
      <c r="D18" s="453">
        <f>IF(ISNUMBER(C18/Datos!BH18),C18/Datos!BH18," - ")</f>
        <v>5</v>
      </c>
      <c r="E18" s="452">
        <f>IF(ISNUMBER(IF(D_I="SI",Datos!J18,Datos!J18+Datos!AD18)),IF(D_I="SI",Datos!J18,Datos!J18+Datos!AD18)," - ")</f>
        <v>209</v>
      </c>
      <c r="F18" s="453">
        <f>IF(ISNUMBER(E18/B18),E18/B18," - ")</f>
        <v>209</v>
      </c>
      <c r="G18" s="452">
        <f>IF(ISNUMBER(IF(D_I="SI",Datos!K18,Datos!K18+Datos!AE18)),IF(D_I="SI",Datos!K18,Datos!K18+Datos!AE18)," - ")</f>
        <v>173</v>
      </c>
      <c r="H18" s="453">
        <f>IF(ISNUMBER(G18/B18),G18/B18," - ")</f>
        <v>173</v>
      </c>
      <c r="I18" s="452">
        <f>IF(ISNUMBER(IF(D_I="SI",Datos!L18,Datos!L18+Datos!AF18)),IF(D_I="SI",Datos!L18,Datos!L18+Datos!AF18)," - ")</f>
        <v>41</v>
      </c>
      <c r="J18" s="453">
        <f>IF(ISNUMBER(I18/B18),I18/B18," - ")</f>
        <v>41</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622</v>
      </c>
      <c r="D23" s="1150" t="str">
        <f>IF(ISNUMBER(C23/Datos!BI23),C23/Datos!BI23," - ")</f>
        <v xml:space="preserve"> - </v>
      </c>
      <c r="E23" s="1149">
        <f>SUBTOTAL(9,E15:E22)</f>
        <v>2727</v>
      </c>
      <c r="F23" s="1150">
        <f>IF(ISNUMBER(E23/B23),E23/B23," - ")</f>
        <v>909</v>
      </c>
      <c r="G23" s="1149">
        <f>SUBTOTAL(9,G15:G22)</f>
        <v>2761</v>
      </c>
      <c r="H23" s="1150">
        <f>IF(ISNUMBER(G23/B23),G23/B23," - ")</f>
        <v>920.33333333333337</v>
      </c>
      <c r="I23" s="1149">
        <f>SUBTOTAL(9,I15:I22)</f>
        <v>583</v>
      </c>
      <c r="J23" s="1150">
        <f>IF(ISNUMBER(I23/B23),I23/B23," - ")</f>
        <v>194.33333333333334</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3</v>
      </c>
      <c r="C31" s="1087">
        <f>SUBTOTAL(9,C9:C30)</f>
        <v>2051</v>
      </c>
      <c r="D31" s="1088" t="str">
        <f>IF(ISNUMBER(C31/Datos!BI31),C31/Datos!BI31," - ")</f>
        <v xml:space="preserve"> - </v>
      </c>
      <c r="E31" s="1087">
        <f>SUBTOTAL(9,E9:E30)</f>
        <v>5788</v>
      </c>
      <c r="F31" s="1088">
        <f>IF(ISNUMBER(E31/B31),E31/B31," - ")</f>
        <v>1929.3333333333333</v>
      </c>
      <c r="G31" s="1087">
        <f>SUBTOTAL(9,G9:G30)</f>
        <v>5445</v>
      </c>
      <c r="H31" s="1088">
        <f>IF(ISNUMBER(G31/B31),G31/B31," - ")</f>
        <v>1815</v>
      </c>
      <c r="I31" s="1087">
        <f>SUBTOTAL(9,I9:I30)</f>
        <v>2091</v>
      </c>
      <c r="J31" s="1088">
        <f>IF(ISNUMBER(I31/B31),I31/B31," - ")</f>
        <v>697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WhQt8At3pjMsMEniGyi6nyao2C8CoeD2H5cW81E3BzGoFDY6CPZDmZOsdKB0dzW67JdRuhuLlHTv3I8pAKviBA==" saltValue="bankQ2WM59z7ATORgdm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ARUCAS</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10</v>
      </c>
      <c r="G10" s="909">
        <f>IF(ISNUMBER(Datos!I10),Datos!I10," - ")</f>
        <v>25</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15</v>
      </c>
      <c r="AC10" s="908" t="str">
        <f>IF(ISNUMBER(IF(D_I="SI",DatosP!K18,DatosP!K18+DatosP!AE18)),IF(D_I="SI",DatosP!K18,DatosP!K18+DatosP!AE18)," - ")</f>
        <v xml:space="preserve"> - </v>
      </c>
      <c r="AD10" s="910"/>
      <c r="AE10" s="910"/>
      <c r="AF10" s="913">
        <f>IF(ISNUMBER(Datos!L10),Datos!L10,"-")</f>
        <v>11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8</v>
      </c>
      <c r="AM10" s="917">
        <f>IF(ISNUMBER(Datos!N10+DatosP!N18),Datos!N10+DatosP!N18," - ")</f>
        <v>1</v>
      </c>
      <c r="AN10" s="917">
        <f>IF(ISNUMBER(Datos!BW10+DatosP!BW18),Datos!BW10+DatosP!BW18," - ")</f>
        <v>0</v>
      </c>
      <c r="AO10" s="918">
        <f>IF(ISNUMBER(Datos!BX10+DatosP!BX18),Datos!BX10+DatosP!BX18," - ")</f>
        <v>0</v>
      </c>
      <c r="AP10" s="920">
        <f>IF(ISNUMBER(((Datos!L10/Datos!K10)*11)/factor_trimestre),((Datos!L10/Datos!K10)*11)/factor_trimestre," - ")</f>
        <v>8.0666666666666664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324</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462</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266</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3086</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502</v>
      </c>
      <c r="AM12" s="917">
        <f>IF(ISNUMBER(Datos!N12+DatosP!N17),Datos!N12+DatosP!N17," - ")</f>
        <v>1409</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6.1697264893218433</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6.7820069204152247E-2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10</v>
      </c>
      <c r="G14" s="1261">
        <f t="shared" si="0"/>
        <v>25</v>
      </c>
      <c r="H14" s="1261">
        <f t="shared" si="0"/>
        <v>0</v>
      </c>
      <c r="I14" s="1263">
        <f t="shared" si="0"/>
        <v>0</v>
      </c>
      <c r="J14" s="1262">
        <f t="shared" si="0"/>
        <v>0</v>
      </c>
      <c r="K14" s="1262">
        <f t="shared" si="0"/>
        <v>0</v>
      </c>
      <c r="L14" s="1264">
        <f t="shared" si="0"/>
        <v>0</v>
      </c>
      <c r="M14" s="1264">
        <f t="shared" si="0"/>
        <v>0</v>
      </c>
      <c r="N14" s="1262">
        <f t="shared" si="0"/>
        <v>463</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15</v>
      </c>
      <c r="AC14" s="1262">
        <f t="shared" si="1"/>
        <v>0</v>
      </c>
      <c r="AD14" s="1262">
        <f t="shared" si="1"/>
        <v>266</v>
      </c>
      <c r="AE14" s="1262">
        <f t="shared" si="1"/>
        <v>0</v>
      </c>
      <c r="AF14" s="1262">
        <f t="shared" si="1"/>
        <v>11</v>
      </c>
      <c r="AG14" s="1262">
        <f t="shared" si="1"/>
        <v>0</v>
      </c>
      <c r="AH14" s="1262">
        <f t="shared" si="1"/>
        <v>3086</v>
      </c>
      <c r="AI14" s="1262">
        <f t="shared" si="1"/>
        <v>0</v>
      </c>
      <c r="AJ14" s="1262">
        <f t="shared" si="1"/>
        <v>0</v>
      </c>
      <c r="AK14" s="1262">
        <f t="shared" si="1"/>
        <v>0</v>
      </c>
      <c r="AL14" s="1262">
        <f t="shared" si="1"/>
        <v>510</v>
      </c>
      <c r="AM14" s="1262">
        <f t="shared" si="1"/>
        <v>1410</v>
      </c>
      <c r="AN14" s="1262">
        <f t="shared" si="1"/>
        <v>0</v>
      </c>
      <c r="AO14" s="1262">
        <f t="shared" si="1"/>
        <v>0</v>
      </c>
      <c r="AP14" s="1267">
        <f>IF(ISNUMBER(((Datos!L14/Datos!K14)*11)/factor_trimestre),((Datos!L14/Datos!K14)*11)/factor_trimestre," - ")</f>
        <v>6.1785005950019833</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-1.5</v>
      </c>
      <c r="AU14" s="1262" t="str">
        <f>IF(ISNUMBER((DatosP!#REF!-DatosP!#REF!+DatosP!#REF!)/(DatosP!#REF!+DatosP!#REF!-DatosP!#REF!-DatosP!#REF!)),(DatosP!#REF!-DatosP!#REF!+DatosP!#REF!)/(DatosP!#REF!+DatosP!#REF!-DatosP!#REF!-DatosP!#REF!)," - ")</f>
        <v xml:space="preserve"> - </v>
      </c>
      <c r="AV14" s="1268">
        <f>SUBTOTAL(9,AV9:AV13)</f>
        <v>6.7820069204152247E-2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2.3227091633466137</v>
      </c>
      <c r="AQ23" s="1267">
        <f>IF(ISNUMBER(((Datos!M23/Datos!L23)*11)/factor_trimestre),((Datos!M23/Datos!L23)*11)/factor_trimestre," - ")</f>
        <v>9.4339622641509422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3.4482758620689655E-2</v>
      </c>
      <c r="AW23" s="1270">
        <f>IF(ISNUMBER((Datos!Q23-Datos!R23)/(Datos!S23-Datos!Q23+Datos!R23)),(Datos!Q23-Datos!R23)/(Datos!S23-Datos!Q23+Datos!R23)," - ")</f>
        <v>-4.5722713864306784E-2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10</v>
      </c>
      <c r="G31" s="1283">
        <f t="shared" si="8"/>
        <v>25</v>
      </c>
      <c r="H31" s="1283">
        <f t="shared" si="8"/>
        <v>0</v>
      </c>
      <c r="I31" s="1284">
        <f t="shared" si="8"/>
        <v>0</v>
      </c>
      <c r="J31" s="1285">
        <f t="shared" si="8"/>
        <v>0</v>
      </c>
      <c r="K31" s="1285">
        <f t="shared" si="8"/>
        <v>0</v>
      </c>
      <c r="L31" s="1285">
        <f t="shared" si="8"/>
        <v>0</v>
      </c>
      <c r="M31" s="1285">
        <f t="shared" si="8"/>
        <v>0</v>
      </c>
      <c r="N31" s="1284">
        <f t="shared" si="8"/>
        <v>463</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15</v>
      </c>
      <c r="AC31" s="1289">
        <f t="shared" si="9"/>
        <v>0</v>
      </c>
      <c r="AD31" s="1289">
        <f t="shared" si="9"/>
        <v>266</v>
      </c>
      <c r="AE31" s="1289">
        <f t="shared" si="9"/>
        <v>0</v>
      </c>
      <c r="AF31" s="1290">
        <f t="shared" si="9"/>
        <v>11</v>
      </c>
      <c r="AG31" s="1290">
        <f t="shared" si="9"/>
        <v>0</v>
      </c>
      <c r="AH31" s="1290">
        <f t="shared" si="9"/>
        <v>3086</v>
      </c>
      <c r="AI31" s="1290">
        <f t="shared" si="9"/>
        <v>0</v>
      </c>
      <c r="AJ31" s="1291">
        <f t="shared" si="9"/>
        <v>0</v>
      </c>
      <c r="AK31" s="1291">
        <f t="shared" si="9"/>
        <v>0</v>
      </c>
      <c r="AL31" s="1283">
        <f t="shared" si="9"/>
        <v>510</v>
      </c>
      <c r="AM31" s="1283">
        <f t="shared" si="9"/>
        <v>1410</v>
      </c>
      <c r="AN31" s="1283">
        <f t="shared" si="9"/>
        <v>0</v>
      </c>
      <c r="AO31" s="1283">
        <f t="shared" si="9"/>
        <v>0</v>
      </c>
      <c r="AP31" s="1283">
        <f>IF(ISNUMBER(((Datos!L31/Datos!K31)*11)/factor_trimestre),((Datos!L31/Datos!K31)*11)/factor_trimestre," - ")</f>
        <v>4.1630064369556985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6.6534914361001313E-2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10</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1.3228756555322954</v>
      </c>
      <c r="F33" s="1009">
        <f>IF(ISNUMBER(STDEV(F8:F30)),STDEV(F8:F30),"-")</f>
        <v>5.4772255750516612</v>
      </c>
      <c r="G33" s="1010">
        <f>IF(ISNUMBER(STDEV(G8:G30)),STDEV(G8:G30),"-")</f>
        <v>13.693063937629153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8.2158383625774913</v>
      </c>
      <c r="AC33" s="1011">
        <f>IF(ISNUMBER(STDEV(AC8:AC30)),STDEV(AC8:AC30),"-")</f>
        <v>0</v>
      </c>
      <c r="AD33" s="1014"/>
      <c r="AE33" s="1014"/>
      <c r="AF33" s="1014"/>
      <c r="AG33" s="1014"/>
      <c r="AH33" s="1014"/>
      <c r="AI33" s="1014"/>
      <c r="AJ33" s="1015">
        <f>IF(ISNUMBER(STDEV(AJ8:AJ30)),STDEV(AJ8:AJ30),"-")</f>
        <v>0</v>
      </c>
      <c r="AK33" s="1017"/>
      <c r="AL33" s="1009">
        <f>IF(ISNUMBER(STDEV(AL8:AL30)),STDEV(AL8:AL30),"-")</f>
        <v>260.29521701329821</v>
      </c>
      <c r="AM33" s="1009"/>
      <c r="AN33" s="1009">
        <f>IF(ISNUMBER(STDEV(AN8:AN30)),STDEV(AN8:AN30),"-")</f>
        <v>0</v>
      </c>
      <c r="AO33" s="1015">
        <f>IF(ISNUMBER(STDEV(AO8:AO30)),STDEV(AO8:AO30),"-")</f>
        <v>0</v>
      </c>
      <c r="AP33" s="1068">
        <f>IF(ISNUMBER(STDEV(AP8:AP30)),STDEV(AP8:AP30),"-")</f>
        <v>2.4121799927014229</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ER1bsbvaHJe2GedSWbdDhXgX1ALYrLpedL2UYv8/MpN1Ccha6Oo4wW8ZmP2X8v9oeciPMUDoQE7ddNC32lV+xw==" saltValue="Y8BZmFf4pOWIsX11hdsTV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ARUCAS</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zuXoKaFy/mDuwscnL8DB8IuRG3ufruOdBTFrq4JPG1k+uoUb7RLT0RY5DOJ7UkRtpU+0jeuFJF0nLBOOAuIc7Q==" saltValue="sgHv/HqVFqCqJUQGlRO2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ARUCAS</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8</v>
      </c>
      <c r="E10" s="453">
        <f>IF(ISNUMBER(D10/B10),D10/B10," - ")</f>
        <v>8</v>
      </c>
      <c r="F10" s="452">
        <f>IF(ISNUMBER(Datos!N10),Datos!N10," - ")</f>
        <v>1</v>
      </c>
      <c r="G10" s="453">
        <f>IF(ISNUMBER(F10/B10),F10/B10," - ")</f>
        <v>1</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502</v>
      </c>
      <c r="E12" s="453">
        <f t="shared" si="0"/>
        <v>167.33333333333334</v>
      </c>
      <c r="F12" s="452">
        <f>IF(ISNUMBER(Datos!N12),Datos!N12," - ")</f>
        <v>1409</v>
      </c>
      <c r="G12" s="453">
        <f t="shared" si="1"/>
        <v>469.66666666666669</v>
      </c>
      <c r="H12" s="452">
        <f>IF(ISNUMBER(Datos!O12),Datos!O12," - ")</f>
        <v>954</v>
      </c>
      <c r="I12" s="453">
        <f t="shared" si="2"/>
        <v>318</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510</v>
      </c>
      <c r="E14" s="1150">
        <f t="shared" si="0"/>
        <v>127.5</v>
      </c>
      <c r="F14" s="1149">
        <f>SUBTOTAL(9,F9:F13)</f>
        <v>1410</v>
      </c>
      <c r="G14" s="1150">
        <f t="shared" si="1"/>
        <v>352.5</v>
      </c>
      <c r="H14" s="1149">
        <f>SUBTOTAL(9,H9:H13)</f>
        <v>954</v>
      </c>
      <c r="I14" s="1150">
        <f>IF(ISNUMBER(H14/B14),H14/B14," - ")</f>
        <v>238.5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432</v>
      </c>
      <c r="E17" s="453">
        <f t="shared" si="3"/>
        <v>144</v>
      </c>
      <c r="F17" s="452">
        <f>IF(ISNUMBER(Datos!N17),Datos!N17," - ")</f>
        <v>1752</v>
      </c>
      <c r="G17" s="453">
        <f t="shared" si="4"/>
        <v>584</v>
      </c>
      <c r="H17" s="452">
        <f>IF(ISNUMBER(Datos!O17),Datos!O17," - ")</f>
        <v>73</v>
      </c>
      <c r="I17" s="453">
        <f t="shared" si="5"/>
        <v>24.333333333333332</v>
      </c>
    </row>
    <row r="18" spans="1:9">
      <c r="A18" s="451" t="str">
        <f>Datos!A18</f>
        <v>Jdos. Violencia contra la mujer</v>
      </c>
      <c r="B18" s="481">
        <f>Datos!AO18</f>
        <v>1</v>
      </c>
      <c r="C18" s="482">
        <f>Datos!AQ18</f>
        <v>0</v>
      </c>
      <c r="D18" s="452">
        <f>IF(ISNUMBER(Datos!M18),Datos!M18," - ")</f>
        <v>68</v>
      </c>
      <c r="E18" s="453">
        <f>IF(ISNUMBER(D18/B18),D18/B18," - ")</f>
        <v>68</v>
      </c>
      <c r="F18" s="452">
        <f>IF(ISNUMBER(Datos!N18),Datos!N18," - ")</f>
        <v>148</v>
      </c>
      <c r="G18" s="453">
        <f>IF(ISNUMBER(F18/B18),F18/B18," - ")</f>
        <v>148</v>
      </c>
      <c r="H18" s="452">
        <f>IF(ISNUMBER(Datos!O18),Datos!O18," - ")</f>
        <v>2</v>
      </c>
      <c r="I18" s="453">
        <f t="shared" si="5"/>
        <v>2</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500</v>
      </c>
      <c r="E23" s="1150">
        <f t="shared" si="3"/>
        <v>125</v>
      </c>
      <c r="F23" s="1149">
        <f>SUBTOTAL(9,F16:F22)</f>
        <v>1900</v>
      </c>
      <c r="G23" s="1150">
        <f t="shared" si="4"/>
        <v>475</v>
      </c>
      <c r="H23" s="1149">
        <f>SUBTOTAL(9,H16:H22)</f>
        <v>75</v>
      </c>
      <c r="I23" s="1150">
        <f>IF(ISNUMBER(H23/B23),H23/B23," - ")</f>
        <v>18.75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3</v>
      </c>
      <c r="C31" s="1087">
        <f>Datos!AR31</f>
        <v>3</v>
      </c>
      <c r="D31" s="1087">
        <f>SUBTOTAL(9,D8:D30)</f>
        <v>1010</v>
      </c>
      <c r="E31" s="1088">
        <f>IF(ISNUMBER(D31/B31),D31/B31," - ")</f>
        <v>336.66666666666669</v>
      </c>
      <c r="F31" s="1087">
        <f>SUBTOTAL(9,F8:F30)</f>
        <v>3310</v>
      </c>
      <c r="G31" s="1088">
        <f>IF(ISNUMBER(F31/B31),F31/B31," - ")</f>
        <v>1103.3333333333333</v>
      </c>
      <c r="H31" s="1087">
        <f>SUBTOTAL(9,H8:H30)</f>
        <v>1029</v>
      </c>
      <c r="I31" s="1088">
        <f>IF(ISNUMBER(H31/B31),H31/B31," - ")</f>
        <v>343</v>
      </c>
    </row>
    <row r="34" spans="1:1">
      <c r="A34" s="440" t="str">
        <f>Criterios!A4</f>
        <v>Fecha Informe: 05 abr. 2022</v>
      </c>
    </row>
    <row r="39" spans="1:1">
      <c r="A39" s="463"/>
    </row>
  </sheetData>
  <sheetProtection algorithmName="SHA-512" hashValue="fDLr7U7H8RrOCBaVBL9Au2jNoXUBReZ345sk9ALT+PvPwWHEZRyfNneCVdQ9xIkp/LgDfv3z5v4YzlkNABwbyw==" saltValue="8Ac3UqXevmAnoS96wGvP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ARUCAS</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1</v>
      </c>
      <c r="C10" s="490">
        <f>IF(ISNUMBER(Datos!Q10),Datos!Q10," - ")</f>
        <v>0</v>
      </c>
      <c r="D10" s="457">
        <f>IF(ISNUMBER(Datos!R10),Datos!R10," - ")</f>
        <v>2</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462</v>
      </c>
      <c r="C12" s="490">
        <f>IF(ISNUMBER(Datos!Q12),Datos!Q12," - ")</f>
        <v>266</v>
      </c>
      <c r="D12" s="457">
        <f>IF(ISNUMBER(Datos!R12),Datos!R12," - ")</f>
        <v>3086</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463</v>
      </c>
      <c r="C14" s="1153">
        <f>SUBTOTAL(9,C9:C13)</f>
        <v>266</v>
      </c>
      <c r="D14" s="1151">
        <f>SUBTOTAL(9,D9:D13)</f>
        <v>3088</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106</v>
      </c>
      <c r="C17" s="490">
        <f>IF(ISNUMBER(Datos!Q17),Datos!Q17," - ")</f>
        <v>102</v>
      </c>
      <c r="D17" s="457">
        <f>IF(ISNUMBER(Datos!R17),Datos!R17," - ")</f>
        <v>134</v>
      </c>
    </row>
    <row r="18" spans="1:4">
      <c r="A18" s="451" t="str">
        <f>Datos!A18</f>
        <v>Jdos. Violencia contra la mujer</v>
      </c>
      <c r="B18" s="489">
        <f>IF(ISNUMBER(Datos!P18),Datos!P18," - ")</f>
        <v>18</v>
      </c>
      <c r="C18" s="490">
        <f>IF(ISNUMBER(Datos!Q18),Datos!Q18," - ")</f>
        <v>17</v>
      </c>
      <c r="D18" s="457">
        <f>IF(ISNUMBER(Datos!R18),Datos!R18," - ")</f>
        <v>16</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124</v>
      </c>
      <c r="C23" s="1153">
        <f>SUBTOTAL(9,C16:C22)</f>
        <v>119</v>
      </c>
      <c r="D23" s="1151">
        <f>SUBTOTAL(9,D16:D22)</f>
        <v>150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587</v>
      </c>
      <c r="C31" s="1092">
        <f>SUBTOTAL(9,C8:C30)</f>
        <v>385</v>
      </c>
      <c r="D31" s="1093">
        <f>SUBTOTAL(9,D8:D30)</f>
        <v>3238</v>
      </c>
    </row>
    <row r="32" spans="1:4" ht="7.5" customHeight="1"/>
    <row r="33" spans="1:1" ht="6" customHeight="1"/>
    <row r="34" spans="1:1">
      <c r="A34" s="440" t="str">
        <f>Criterios!A4</f>
        <v>Fecha Informe: 05 abr. 2022</v>
      </c>
    </row>
    <row r="39" spans="1:1">
      <c r="A39" s="463"/>
    </row>
  </sheetData>
  <sheetProtection algorithmName="SHA-512" hashValue="UrmRTZ+Sj0PA+EojTCVkM/+Y8mIz8xCChmDX7/4lQmY0iIIh6QiyvDM+OaVClvPMqqhjqtYPbRbg0IDKSCN9DA==" saltValue="ltzU1nU+EI5zkravepL3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ARUCAS</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0.92307692307692313</v>
      </c>
      <c r="C10" s="516">
        <f>IF(ISNUMBER((Datos!J10-Datos!T10)/Datos!T10),(Datos!J10-Datos!T10)/Datos!T10," - ")</f>
        <v>6.6666666666666666E-2</v>
      </c>
      <c r="D10" s="516">
        <f>IF(ISNUMBER((Datos!K10-Datos!U10)/Datos!U10),(Datos!K10-Datos!U10)/Datos!U10," - ")</f>
        <v>4</v>
      </c>
      <c r="E10" s="516">
        <f>IF(ISNUMBER((Datos!L10-Datos!V10)/Datos!V10),(Datos!L10-Datos!V10)/Datos!V10," - ")</f>
        <v>-0.56000000000000005</v>
      </c>
      <c r="F10" s="516" t="str">
        <f>IF(ISNUMBER((Datos!M10-Datos!W10)/Datos!W10),(Datos!M10-Datos!W10)/Datos!W10," - ")</f>
        <v xml:space="preserve"> - </v>
      </c>
      <c r="G10" s="517" t="str">
        <f>IF(ISNUMBER((Datos!N10-Datos!X10)/Datos!X10),(Datos!N10-Datos!X10)/Datos!X10," - ")</f>
        <v xml:space="preserve"> - </v>
      </c>
      <c r="H10" s="515">
        <f>IF(ISNUMBER(((NºAsuntos!G10/NºAsuntos!E10)-Datos!BD10)/Datos!BD10),((NºAsuntos!G10/NºAsuntos!E10)-Datos!BD10)/Datos!BD10," - ")</f>
        <v>3.6875</v>
      </c>
      <c r="I10" s="516">
        <f>IF(ISNUMBER(((NºAsuntos!I10/NºAsuntos!G10)-Datos!BE10)/Datos!BE10),((NºAsuntos!I10/NºAsuntos!G10)-Datos!BE10)/Datos!BE10," - ")</f>
        <v>-0.91200000000000003</v>
      </c>
      <c r="J10" s="522" t="str">
        <f>IF(ISNUMBER((('Resol  Asuntos'!D10/NºAsuntos!G10)-Datos!BF10)/Datos!BF10),(('Resol  Asuntos'!D10/NºAsuntos!G10)-Datos!BF10)/Datos!BF10," - ")</f>
        <v xml:space="preserve"> - </v>
      </c>
      <c r="K10" s="523">
        <f>IF(ISNUMBER((((NºAsuntos!C10+NºAsuntos!E10)/NºAsuntos!G10)-Datos!BG10)/Datos!BG10),(((NºAsuntos!C10+NºAsuntos!E10)/NºAsuntos!G10)-Datos!BG10)/Datos!BG10," - ")</f>
        <v>-0.70714285714285718</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-4.961020552799433E-3</v>
      </c>
      <c r="C12" s="516">
        <f>IF(ISNUMBER(
   IF(J_V="SI",(Datos!J12-Datos!T12)/Datos!T12,(Datos!J12+Datos!Z12-(Datos!T12+Datos!AH12))/(Datos!T12+Datos!AH12))
     ),IF(J_V="SI",(Datos!J12-Datos!T12)/Datos!T12,(Datos!J12+Datos!Z12-(Datos!T12+Datos!AH12))/(Datos!T12+Datos!AH12))," - ")</f>
        <v>0.2097735399284863</v>
      </c>
      <c r="D12" s="516">
        <f>IF(ISNUMBER(
   IF(J_V="SI",(Datos!K12-Datos!U12)/Datos!U12,(Datos!K12+Datos!AA12-(Datos!U12+Datos!AI12))/(Datos!U12+Datos!AI12))
     ),IF(J_V="SI",(Datos!K12-Datos!U12)/Datos!U12,(Datos!K12+Datos!AA12-(Datos!U12+Datos!AI12))/(Datos!U12+Datos!AI12))," - ")</f>
        <v>5.7448494453248809E-2</v>
      </c>
      <c r="E12" s="516">
        <f>IF(ISNUMBER(
   IF(J_V="SI",(Datos!L12-Datos!V12)/Datos!V12,(Datos!L12+Datos!AB12-(Datos!V12+Datos!AJ12))/(Datos!V12+Datos!AJ12))
     ),IF(J_V="SI",(Datos!L12-Datos!V12)/Datos!V12,(Datos!L12+Datos!AB12-(Datos!V12+Datos!AJ12))/(Datos!V12+Datos!AJ12))," - ")</f>
        <v>6.623931623931624E-2</v>
      </c>
      <c r="F12" s="516">
        <f>IF(ISNUMBER((Datos!M12-Datos!W12)/Datos!W12),(Datos!M12-Datos!W12)/Datos!W12," - ")</f>
        <v>0.10329670329670329</v>
      </c>
      <c r="G12" s="517">
        <f>IF(ISNUMBER((Datos!N12-Datos!X12)/Datos!X12),(Datos!N12-Datos!X12)/Datos!X12," - ")</f>
        <v>0.19003378378378377</v>
      </c>
      <c r="H12" s="515">
        <f>IF(ISNUMBER(((NºAsuntos!G12/NºAsuntos!E12)-Datos!BD12)/Datos!BD12),((NºAsuntos!G12/NºAsuntos!E12)-Datos!BD12)/Datos!BD12," - ")</f>
        <v>-0.12591203266376774</v>
      </c>
      <c r="I12" s="516">
        <f>IF(ISNUMBER(((NºAsuntos!I12/NºAsuntos!G12)-Datos!BE12)/Datos!BE12),((NºAsuntos!I12/NºAsuntos!G12)-Datos!BE12)/Datos!BE12," - ")</f>
        <v>8.3132387366183485E-3</v>
      </c>
      <c r="J12" s="522">
        <f>IF(ISNUMBER((('Resol  Asuntos'!D12/NºAsuntos!G12)-Datos!BF12)/Datos!BF12),(('Resol  Asuntos'!D12/NºAsuntos!G12)-Datos!BF12)/Datos!BF12," - ")</f>
        <v>-0.5990476238696546</v>
      </c>
      <c r="K12" s="523">
        <f>IF(ISNUMBER((((NºAsuntos!C12+NºAsuntos!E12)/NºAsuntos!G12)-Datos!BG12)/Datos!BG12),(((NºAsuntos!C12+NºAsuntos!E12)/NºAsuntos!G12)-Datos!BG12)/Datos!BG12," - ")</f>
        <v>7.1104153519438301E-2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3.5112359550561797E-3</v>
      </c>
      <c r="C14" s="1155">
        <f>IF(ISNUMBER(
   IF(J_V="SI",(Datos!J14-Datos!T14)/Datos!T14,(Datos!J14+Datos!Z14-(Datos!T14+Datos!AH14))/(Datos!T14+Datos!AH14))
     ),IF(J_V="SI",(Datos!J14-Datos!T14)/Datos!T14,(Datos!J14+Datos!Z14-(Datos!T14+Datos!AH14))/(Datos!T14+Datos!AH14))," - ")</f>
        <v>0.20892575039494471</v>
      </c>
      <c r="D14" s="1155">
        <f>IF(ISNUMBER(
   IF(J_V="SI",(Datos!K14-Datos!U14)/Datos!U14,(Datos!K14+Datos!AA14-(Datos!U14+Datos!AI14))/(Datos!U14+Datos!AI14))
     ),IF(J_V="SI",(Datos!K14-Datos!U14)/Datos!U14,(Datos!K14+Datos!AA14-(Datos!U14+Datos!AI14))/(Datos!U14+Datos!AI14))," - ")</f>
        <v>6.2129006727344678E-2</v>
      </c>
      <c r="E14" s="1155">
        <f>IF(ISNUMBER(
   IF(J_V="SI",(Datos!L14-Datos!V14)/Datos!V14,(Datos!L14+Datos!AB14-(Datos!V14+Datos!AJ14))/(Datos!V14+Datos!AJ14))
     ),IF(J_V="SI",(Datos!L14-Datos!V14)/Datos!V14,(Datos!L14+Datos!AB14-(Datos!V14+Datos!AJ14))/(Datos!V14+Datos!AJ14))," - ")</f>
        <v>5.5283414975507345E-2</v>
      </c>
      <c r="F14" s="1156">
        <f>IF(ISNUMBER((Datos!M14-Datos!W14)/Datos!W14),(Datos!M14-Datos!W14)/Datos!W14," - ")</f>
        <v>0.12087912087912088</v>
      </c>
      <c r="G14" s="1157">
        <f>IF(ISNUMBER((Datos!N14-Datos!X14)/Datos!X14),(Datos!N14-Datos!X14)/Datos!X14," - ")</f>
        <v>0.19087837837837837</v>
      </c>
      <c r="H14" s="1157">
        <f>IF(ISNUMBER(((NºAsuntos!G14/NºAsuntos!E14)-Datos!BD14)/Datos!BD14),((NºAsuntos!G14/NºAsuntos!E14)-Datos!BD14)/Datos!BD14," - ")</f>
        <v>-0.12142742730034738</v>
      </c>
      <c r="I14" s="1157">
        <f>IF(ISNUMBER(((NºAsuntos!I14/NºAsuntos!G14)-Datos!BE14)/Datos!BE14),((NºAsuntos!I14/NºAsuntos!G14)-Datos!BE14)/Datos!BE14," - ")</f>
        <v>-6.4451603416143559E-3</v>
      </c>
      <c r="J14" s="1157">
        <f>IF(ISNUMBER((('Resol  Asuntos'!D14/NºAsuntos!G14)-Datos!BF14)/Datos!BF14),(('Resol  Asuntos'!D14/NºAsuntos!G14)-Datos!BF14)/Datos!BF14," - ")</f>
        <v>-0.59445298968864557</v>
      </c>
      <c r="K14" s="1157">
        <f>IF(ISNUMBER((((NºAsuntos!C14+NºAsuntos!E14)/NºAsuntos!G14)-Datos!BG14)/Datos!BG14),(((NºAsuntos!C14+NºAsuntos!E14)/NºAsuntos!G14)-Datos!BG14)/Datos!BG14," - ")</f>
        <v>6.859414061381601E-2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-2.3734177215189875E-2</v>
      </c>
      <c r="C17" s="516">
        <f>IF(ISNUMBER(
   IF(D_I="SI",(Datos!J17-Datos!T17)/Datos!T17,(Datos!J17+Datos!AD17-(Datos!T17+Datos!AL17))/(Datos!T17+Datos!AL17))
     ),IF(D_I="SI",(Datos!J17-Datos!T17)/Datos!T17,(Datos!J17+Datos!AD17-(Datos!T17+Datos!AL17))/(Datos!T17+Datos!AL17))," - ")</f>
        <v>-8.3029861616897307E-2</v>
      </c>
      <c r="D17" s="516">
        <f>IF(ISNUMBER(
   IF(D_I="SI",(Datos!K17-Datos!U17)/Datos!U17,(Datos!K17+Datos!AE17-(Datos!U17+Datos!AM17))/(Datos!U17+Datos!AM17))
     ),IF(D_I="SI",(Datos!K17-Datos!U17)/Datos!U17,(Datos!K17+Datos!AE17-(Datos!U17+Datos!AM17))/(Datos!U17+Datos!AM17))," - ")</f>
        <v>-1.6717325227963525E-2</v>
      </c>
      <c r="E17" s="516">
        <f>IF(ISNUMBER(
   IF(D_I="SI",(Datos!L17-Datos!V17)/Datos!V17,(Datos!L17+Datos!AF17-(Datos!V17+Datos!AN17))/(Datos!V17+Datos!AN17))
     ),IF(D_I="SI",(Datos!L17-Datos!V17)/Datos!V17,(Datos!L17+Datos!AF17-(Datos!V17+Datos!AN17))/(Datos!V17+Datos!AN17))," - ")</f>
        <v>-0.12155591572123177</v>
      </c>
      <c r="F17" s="516">
        <f>IF(ISNUMBER((Datos!M17-Datos!W17)/Datos!W17),(Datos!M17-Datos!W17)/Datos!W17," - ")</f>
        <v>0.19008264462809918</v>
      </c>
      <c r="G17" s="517">
        <f>IF(ISNUMBER((Datos!N17-Datos!X17)/Datos!X17),(Datos!N17-Datos!X17)/Datos!X17," - ")</f>
        <v>-2.9900332225913623E-2</v>
      </c>
      <c r="H17" s="515">
        <f>IF(ISNUMBER(((NºAsuntos!G17/NºAsuntos!E17)-Datos!BD17)/Datos!BD17),((NºAsuntos!G17/NºAsuntos!E17)-Datos!BD17)/Datos!BD17," - ")</f>
        <v>7.231700751549347E-2</v>
      </c>
      <c r="I17" s="516">
        <f>IF(ISNUMBER(((NºAsuntos!I17/NºAsuntos!G17)-Datos!BE17)/Datos!BE17),((NºAsuntos!I17/NºAsuntos!G17)-Datos!BE17)/Datos!BE17," - ")</f>
        <v>-0.1066210085696607</v>
      </c>
      <c r="J17" s="522">
        <f>IF(ISNUMBER((('Resol  Asuntos'!D17/NºAsuntos!G17)-Datos!BF17)/Datos!BF17),(('Resol  Asuntos'!D17/NºAsuntos!G17)-Datos!BF17)/Datos!BF17," - ")</f>
        <v>0.21031588897262651</v>
      </c>
      <c r="K17" s="523">
        <f>IF(ISNUMBER((((NºAsuntos!C17+NºAsuntos!E17)/NºAsuntos!G17)-Datos!BG17)/Datos!BG17),(((NºAsuntos!C17+NºAsuntos!E17)/NºAsuntos!G17)-Datos!BG17)/Datos!BG17," - ")</f>
        <v>-5.6157535393577672E-2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-0.66666666666666663</v>
      </c>
      <c r="C18" s="516">
        <f>IF(ISNUMBER(
   IF(D_I="SI",(Datos!J18-Datos!T18)/Datos!T18,(Datos!J18+Datos!AD18-(Datos!T18+Datos!AL18))/(Datos!T18+Datos!AL18))
     ),IF(D_I="SI",(Datos!J18-Datos!T18)/Datos!T18,(Datos!J18+Datos!AD18-(Datos!T18+Datos!AL18))/(Datos!T18+Datos!AL18))," - ")</f>
        <v>1.4563106796116505E-2</v>
      </c>
      <c r="D18" s="516">
        <f>IF(ISNUMBER(
   IF(D_I="SI",(Datos!K18-Datos!U18)/Datos!U18,(Datos!K18+Datos!AE18-(Datos!U18+Datos!AM18))/(Datos!U18+Datos!AM18))
     ),IF(D_I="SI",(Datos!K18-Datos!U18)/Datos!U18,(Datos!K18+Datos!AE18-(Datos!U18+Datos!AM18))/(Datos!U18+Datos!AM18))," - ")</f>
        <v>-0.19907407407407407</v>
      </c>
      <c r="E18" s="516">
        <f>IF(ISNUMBER(
   IF(D_I="SI",(Datos!L18-Datos!V18)/Datos!V18,(Datos!L18+Datos!AF18-(Datos!V18+Datos!AN18))/(Datos!V18+Datos!AN18))
     ),IF(D_I="SI",(Datos!L18-Datos!V18)/Datos!V18,(Datos!L18+Datos!AF18-(Datos!V18+Datos!AN18))/(Datos!V18+Datos!AN18))," - ")</f>
        <v>7.2</v>
      </c>
      <c r="F18" s="516">
        <f>IF(ISNUMBER((Datos!M18-Datos!W18)/Datos!W18),(Datos!M18-Datos!W18)/Datos!W18," - ")</f>
        <v>0.11475409836065574</v>
      </c>
      <c r="G18" s="517">
        <f>IF(ISNUMBER((Datos!N18-Datos!X18)/Datos!X18),(Datos!N18-Datos!X18)/Datos!X18," - ")</f>
        <v>-5.128205128205128E-2</v>
      </c>
      <c r="H18" s="515">
        <f>IF(ISNUMBER(((NºAsuntos!G18/NºAsuntos!E18)-Datos!BD18)/Datos!BD18),((NºAsuntos!G18/NºAsuntos!E18)-Datos!BD18)/Datos!BD18," - ")</f>
        <v>-0.2105706184653553</v>
      </c>
      <c r="I18" s="516">
        <f>IF(ISNUMBER(((NºAsuntos!I18/NºAsuntos!G18)-Datos!BE18)/Datos!BE18),((NºAsuntos!I18/NºAsuntos!G18)-Datos!BE18)/Datos!BE18," - ")</f>
        <v>9.2381502890173408</v>
      </c>
      <c r="J18" s="522">
        <f>IF(ISNUMBER((('Resol  Asuntos'!D18/NºAsuntos!G18)-Datos!BF18)/Datos!BF18),(('Resol  Asuntos'!D18/NºAsuntos!G18)-Datos!BF18)/Datos!BF18," - ")</f>
        <v>0.39183170662370909</v>
      </c>
      <c r="K18" s="523">
        <f>IF(ISNUMBER((((NºAsuntos!C18+NºAsuntos!E18)/NºAsuntos!G18)-Datos!BG18)/Datos!BG18),(((NºAsuntos!C18+NºAsuntos!E18)/NºAsuntos!G18)-Datos!BG18)/Datos!BG18," - ")</f>
        <v>0.20900792509089003</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-3.8639876352395672E-2</v>
      </c>
      <c r="C23" s="1155">
        <f>IF(ISNUMBER(
   IF(Criterios!B14="SI",(Datos!J23-Datos!T23)/Datos!T23,(Datos!J23+Datos!AD23-(Datos!T23+Datos!AL23))/(Datos!T23+Datos!AL23))
     ),IF(Criterios!B14="SI",(Datos!J23-Datos!T23)/Datos!T23,(Datos!J23+Datos!AD23-(Datos!T23+Datos!AL23))/(Datos!T23+Datos!AL23))," - ")</f>
        <v>-7.621951219512195E-2</v>
      </c>
      <c r="D23" s="1155">
        <f>IF(ISNUMBER(
   IF(Criterios!B14="SI",(Datos!K23-Datos!U23)/Datos!U23,(Datos!K23+Datos!AE23-(Datos!U23+Datos!AM23))/(Datos!U23+Datos!AM23))
     ),IF(Criterios!B14="SI",(Datos!K23-Datos!U23)/Datos!U23,(Datos!K23+Datos!AE23-(Datos!U23+Datos!AM23))/(Datos!U23+Datos!AM23))," - ")</f>
        <v>-3.0547752808988762E-2</v>
      </c>
      <c r="E23" s="1155">
        <f>IF(ISNUMBER(
   IF(Criterios!B14="SI",(Datos!L23-Datos!V23)/Datos!V23,(Datos!L23+Datos!AF23-(Datos!V23+Datos!AN23))/(Datos!V23+Datos!AN23))
     ),IF(Criterios!B14="SI",(Datos!L23-Datos!V23)/Datos!V23,(Datos!L23+Datos!AF23-(Datos!V23+Datos!AN23))/(Datos!V23+Datos!AN23))," - ")</f>
        <v>-6.2700964630225078E-2</v>
      </c>
      <c r="F23" s="1156">
        <f>IF(ISNUMBER((Datos!M23-Datos!W23)/Datos!W23),(Datos!M23-Datos!W23)/Datos!W23," - ")</f>
        <v>0.17924528301886791</v>
      </c>
      <c r="G23" s="1157">
        <f>IF(ISNUMBER((Datos!N23-Datos!X23)/Datos!X23),(Datos!N23-Datos!X23)/Datos!X23," - ")</f>
        <v>-3.1600407747196739E-2</v>
      </c>
      <c r="H23" s="1157">
        <f>IF(ISNUMBER(((NºAsuntos!G23/NºAsuntos!E23)-Datos!BD23)/Datos!BD23),((NºAsuntos!G23/NºAsuntos!E23)-Datos!BD23)/Datos!BD23," - ")</f>
        <v>4.9440056365187154E-2</v>
      </c>
      <c r="I23" s="1157">
        <f>IF(ISNUMBER(((NºAsuntos!I23/NºAsuntos!G23)-Datos!BE23)/Datos!BE23),((NºAsuntos!I23/NºAsuntos!G23)-Datos!BE23)/Datos!BE23," - ")</f>
        <v>-3.3166369890214001E-2</v>
      </c>
      <c r="J23" s="1157">
        <f>IF(ISNUMBER((('Resol  Asuntos'!D23/NºAsuntos!G23)-Datos!BF23)/Datos!BF23),(('Resol  Asuntos'!D23/NºAsuntos!G23)-Datos!BF23)/Datos!BF23," - ")</f>
        <v>0.2164036820129431</v>
      </c>
      <c r="K23" s="1157">
        <f>IF(ISNUMBER((((NºAsuntos!C23+NºAsuntos!E23)/NºAsuntos!G23)-Datos!BG23)/Datos!BG23),(((NºAsuntos!C23+NºAsuntos!E23)/NºAsuntos!G23)-Datos!BG23)/Datos!BG23," - ")</f>
        <v>-4.014224241733217E-2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-9.6571704490584255E-3</v>
      </c>
      <c r="C31" s="1095">
        <f>IF(ISNUMBER(
   IF(J_V="SI",(Datos!J31-Datos!T31)/Datos!T31,(Datos!J31+Datos!Z31-(Datos!T31+Datos!AH31))/(Datos!T31+Datos!AH31))
     ),IF(J_V="SI",(Datos!J31-Datos!T31)/Datos!T31,(Datos!J31+Datos!Z31-(Datos!T31+Datos!AH31))/(Datos!T31+Datos!AH31))," - ")</f>
        <v>5.5433989788475566E-2</v>
      </c>
      <c r="D31" s="1095">
        <f>IF(ISNUMBER(
   IF(J_V="SI",(Datos!K31-Datos!U31)/Datos!U31,(Datos!K31+Datos!AA31-(Datos!U31+Datos!AI31))/(Datos!U31+Datos!AI31))
     ),IF(J_V="SI",(Datos!K31-Datos!U31)/Datos!U31,(Datos!K31+Datos!AA31-(Datos!U31+Datos!AI31))/(Datos!U31+Datos!AI31))," - ")</f>
        <v>1.3023255813953489E-2</v>
      </c>
      <c r="E31" s="1095">
        <f>IF(ISNUMBER(
   IF(J_V="SI",(Datos!L31-Datos!V31)/Datos!V31,(Datos!L31+Datos!AB31-(Datos!V31+Datos!AJ31))/(Datos!V31+Datos!AJ31))
     ),IF(J_V="SI",(Datos!L31-Datos!V31)/Datos!V31,(Datos!L31+Datos!AB31-(Datos!V31+Datos!AJ31))/(Datos!V31+Datos!AJ31))," - ")</f>
        <v>1.9502681618722574E-2</v>
      </c>
      <c r="F31" s="1096">
        <f>IF(ISNUMBER((Datos!M31-Datos!W31)/Datos!W31),(Datos!M31-Datos!W31)/Datos!W31," - ")</f>
        <v>0.14903299203640499</v>
      </c>
      <c r="G31" s="1097">
        <f>IF(ISNUMBER((Datos!N31-Datos!X31)/Datos!X31),(Datos!N31-Datos!X31)/Datos!X31," - ")</f>
        <v>5.2129688493324854E-2</v>
      </c>
      <c r="H31" s="1098">
        <f>IF(ISNUMBER((Tasas!B31-Datos!BD31)/Datos!BD31),(Tasas!B31-Datos!BD31)/Datos!BD31," - ")</f>
        <v>-4.018321788463701E-2</v>
      </c>
      <c r="I31" s="1099">
        <f>IF(ISNUMBER((Tasas!C31-Datos!BE31)/Datos!BE31),(Tasas!C31-Datos!BE31)/Datos!BE31," - ")</f>
        <v>6.3961274014019574E-3</v>
      </c>
      <c r="J31" s="1100">
        <f>IF(ISNUMBER((Tasas!D31-Datos!BF31)/Datos!BF31),(Tasas!D31-Datos!BF31)/Datos!BF31," - ")</f>
        <v>-0.37996541626121005</v>
      </c>
      <c r="K31" s="1100">
        <f>IF(ISNUMBER((Tasas!E31-Datos!BG31)/Datos!BG31),(Tasas!E31-Datos!BG31)/Datos!BG31," - ")</f>
        <v>2.4251904764509346E-2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8fFDbnVG4iZsWbEuIAxCAQHRqACuUA8ftZwytfrHt/InOmXRI75DycHcfj2oBWxWyciHOrHvz0k6hQjs0bsYrg==" saltValue="Q3z7iF+red88XQOoDpMP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ARUCAS</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0.9375</v>
      </c>
      <c r="C10" s="499">
        <f>IF(ISNUMBER(NºAsuntos!I10/NºAsuntos!G10),NºAsuntos!I10/NºAsuntos!G10," - ")</f>
        <v>0.73333333333333328</v>
      </c>
      <c r="D10" s="500">
        <f>IF(ISNUMBER('Resol  Asuntos'!D10/NºAsuntos!G10),'Resol  Asuntos'!D10/NºAsuntos!G10," - ")</f>
        <v>0.53333333333333333</v>
      </c>
      <c r="E10" s="501">
        <f>IF(ISNUMBER((NºAsuntos!C10+NºAsuntos!E10)/NºAsuntos!G10),(NºAsuntos!C10+NºAsuntos!E10)/NºAsuntos!G10," - ")</f>
        <v>2.7333333333333334</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0.87651888341543516</v>
      </c>
      <c r="C12" s="499">
        <f>IF(ISNUMBER(NºAsuntos!I12/NºAsuntos!G12),NºAsuntos!I12/NºAsuntos!G12," - ")</f>
        <v>0.56088422630198576</v>
      </c>
      <c r="D12" s="500">
        <f>IF(ISNUMBER('Resol  Asuntos'!D12/NºAsuntos!G12),'Resol  Asuntos'!D12/NºAsuntos!G12," - ")</f>
        <v>0.1880854252529037</v>
      </c>
      <c r="E12" s="501">
        <f>IF(ISNUMBER((NºAsuntos!C12+NºAsuntos!E12)/NºAsuntos!G12),(NºAsuntos!C12+NºAsuntos!E12)/NºAsuntos!G12," - ")</f>
        <v>1.6669164481079055</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0.87683763475988241</v>
      </c>
      <c r="C14" s="1159">
        <f>IF(ISNUMBER(NºAsuntos!I14/NºAsuntos!G14),NºAsuntos!I14/NºAsuntos!G14," - ")</f>
        <v>0.56184798807749625</v>
      </c>
      <c r="D14" s="1160">
        <f>IF(ISNUMBER('Resol  Asuntos'!D14/NºAsuntos!G14),'Resol  Asuntos'!D14/NºAsuntos!G14," - ")</f>
        <v>0.19001490312965721</v>
      </c>
      <c r="E14" s="1161">
        <f>IF(ISNUMBER((NºAsuntos!C14+NºAsuntos!E14)/NºAsuntos!G14),(NºAsuntos!C14+NºAsuntos!E14)/NºAsuntos!G14," - ")</f>
        <v>1.672876304023845</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1.027799841143765</v>
      </c>
      <c r="C17" s="499">
        <f>IF(ISNUMBER(NºAsuntos!I17/NºAsuntos!G17),NºAsuntos!I17/NºAsuntos!G17," - ")</f>
        <v>0.20942812982998454</v>
      </c>
      <c r="D17" s="500">
        <f>IF(ISNUMBER('Resol  Asuntos'!D17/NºAsuntos!G17),'Resol  Asuntos'!D17/NºAsuntos!G17," - ")</f>
        <v>0.16692426584234932</v>
      </c>
      <c r="E17" s="501">
        <f>IF(ISNUMBER((NºAsuntos!C17+NºAsuntos!E17)/NºAsuntos!G17),(NºAsuntos!C17+NºAsuntos!E17)/NºAsuntos!G17," - ")</f>
        <v>1.2113601236476044</v>
      </c>
      <c r="G17" s="524"/>
    </row>
    <row r="18" spans="1:7">
      <c r="A18" s="451" t="str">
        <f>Datos!A18</f>
        <v>Jdos. Violencia contra la mujer</v>
      </c>
      <c r="B18" s="498">
        <f>IF(ISNUMBER(NºAsuntos!G18/NºAsuntos!E18),NºAsuntos!G18/NºAsuntos!E18," - ")</f>
        <v>0.82775119617224879</v>
      </c>
      <c r="C18" s="499">
        <f>IF(ISNUMBER(NºAsuntos!I18/NºAsuntos!G18),NºAsuntos!I18/NºAsuntos!G18," - ")</f>
        <v>0.23699421965317918</v>
      </c>
      <c r="D18" s="500">
        <f>IF(ISNUMBER('Resol  Asuntos'!D18/NºAsuntos!G18),'Resol  Asuntos'!D18/NºAsuntos!G18," - ")</f>
        <v>0.39306358381502893</v>
      </c>
      <c r="E18" s="501">
        <f>IF(ISNUMBER((NºAsuntos!C18+NºAsuntos!E18)/NºAsuntos!G18),(NºAsuntos!C18+NºAsuntos!E18)/NºAsuntos!G18," - ")</f>
        <v>1.2369942196531791</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1.0124679134580126</v>
      </c>
      <c r="C23" s="1159">
        <f>IF(ISNUMBER(NºAsuntos!I23/NºAsuntos!G23),NºAsuntos!I23/NºAsuntos!G23," - ")</f>
        <v>0.21115537848605578</v>
      </c>
      <c r="D23" s="1162">
        <f>IF(ISNUMBER('Resol  Asuntos'!D23/NºAsuntos!G23),'Resol  Asuntos'!D23/NºAsuntos!G23," - ")</f>
        <v>0.18109380659181457</v>
      </c>
      <c r="E23" s="1161">
        <f>IF(ISNUMBER((NºAsuntos!C23+NºAsuntos!E23)/NºAsuntos!G23),(NºAsuntos!C23+NºAsuntos!E23)/NºAsuntos!G23," - ")</f>
        <v>1.212966316551974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0.94073946095369732</v>
      </c>
      <c r="C31" s="1102">
        <f>IF(ISNUMBER(NºAsuntos!I31/NºAsuntos!G31),NºAsuntos!I31/NºAsuntos!G31," - ")</f>
        <v>0.38402203856749312</v>
      </c>
      <c r="D31" s="1103">
        <f>IF(ISNUMBER('Resol  Asuntos'!D31/NºAsuntos!G31),'Resol  Asuntos'!D31/NºAsuntos!G31," - ")</f>
        <v>0.18549127640036731</v>
      </c>
      <c r="E31" s="1104">
        <f>IF(ISNUMBER((NºAsuntos!C31+NºAsuntos!E31)/NºAsuntos!G31),(NºAsuntos!C31+NºAsuntos!E31)/NºAsuntos!G31," - ")</f>
        <v>1.4396694214876034</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AlUKt7nYb7J4RJFvosAna5vv+8mBXmzO0jwz+xBnPKe2II3wjTzy062Rmh+KwhGTj0hmQrv34MWWay9K/Bun+g==" saltValue="EcGHfWpLBZCxKKjqiNJm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10</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0.9375</v>
      </c>
      <c r="AM10" s="284">
        <f>IF(ISNUMBER(((NºAsuntos!I10/NºAsuntos!G10)*11)/factor_trimestre),((NºAsuntos!I10/NºAsuntos!G10)*11)/factor_trimestre," - ")</f>
        <v>8.0666666666666664</v>
      </c>
      <c r="AN10" s="267">
        <f>IF(ISNUMBER('Resol  Asuntos'!D10/NºAsuntos!G10),'Resol  Asuntos'!D10/NºAsuntos!G10," - ")</f>
        <v>0.53333333333333333</v>
      </c>
      <c r="AO10" s="268">
        <f>IF(ISNUMBER((NºAsuntos!C10+NºAsuntos!E10)/NºAsuntos!G10),(NºAsuntos!C10+NºAsuntos!E10)/NºAsuntos!G10," - ")</f>
        <v>2.7333333333333334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324</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462</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266</v>
      </c>
      <c r="Y12" s="374">
        <f t="shared" si="0"/>
        <v>266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502</v>
      </c>
      <c r="AJ12" s="243" t="str">
        <f>IF(ISNUMBER(Datos!BW12),Datos!BW12," - ")</f>
        <v xml:space="preserve"> - </v>
      </c>
      <c r="AK12" s="242" t="str">
        <f>IF(ISNUMBER(Datos!BX12),Datos!BX12," - ")</f>
        <v xml:space="preserve"> - </v>
      </c>
      <c r="AL12" s="266">
        <f>IF(ISNUMBER(NºAsuntos!G12/NºAsuntos!E12),NºAsuntos!G12/NºAsuntos!E12," - ")</f>
        <v>0.87651888341543516</v>
      </c>
      <c r="AM12" s="284">
        <f>IF(ISNUMBER(((NºAsuntos!I12/NºAsuntos!G12)*11)/factor_trimestre),((NºAsuntos!I12/NºAsuntos!G12)*11)/factor_trimestre," - ")</f>
        <v>6.1697264893218433</v>
      </c>
      <c r="AN12" s="267">
        <f>IF(ISNUMBER('Resol  Asuntos'!D12/NºAsuntos!G12),'Resol  Asuntos'!D12/NºAsuntos!G12," - ")</f>
        <v>0.1880854252529037</v>
      </c>
      <c r="AO12" s="268">
        <f>IF(ISNUMBER((NºAsuntos!C12+NºAsuntos!E12)/NºAsuntos!G12),(NºAsuntos!C12+NºAsuntos!E12)/NºAsuntos!G12," - ")</f>
        <v>1.6669164481079055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10</v>
      </c>
      <c r="G14" s="1166">
        <f t="shared" si="5"/>
        <v>25</v>
      </c>
      <c r="H14" s="1165">
        <f t="shared" si="5"/>
        <v>0</v>
      </c>
      <c r="I14" s="1167">
        <f t="shared" si="5"/>
        <v>0</v>
      </c>
      <c r="J14" s="1167">
        <f t="shared" si="5"/>
        <v>0</v>
      </c>
      <c r="K14" s="1167">
        <f t="shared" si="5"/>
        <v>0</v>
      </c>
      <c r="L14" s="1167">
        <f t="shared" si="5"/>
        <v>463</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15</v>
      </c>
      <c r="X14" s="1167">
        <f t="shared" si="6"/>
        <v>266</v>
      </c>
      <c r="Y14" s="1168">
        <f t="shared" si="6"/>
        <v>281</v>
      </c>
      <c r="Z14" s="1168">
        <f t="shared" si="6"/>
        <v>0</v>
      </c>
      <c r="AA14" s="1168">
        <f t="shared" si="6"/>
        <v>11</v>
      </c>
      <c r="AB14" s="1168">
        <f t="shared" si="6"/>
        <v>3088</v>
      </c>
      <c r="AC14" s="1168">
        <f t="shared" si="6"/>
        <v>13</v>
      </c>
      <c r="AD14" s="1168">
        <f t="shared" si="6"/>
        <v>0</v>
      </c>
      <c r="AE14" s="1172">
        <f t="shared" si="6"/>
        <v>0</v>
      </c>
      <c r="AF14" s="1165">
        <f t="shared" si="6"/>
        <v>0</v>
      </c>
      <c r="AG14" s="1173">
        <f t="shared" si="6"/>
        <v>0</v>
      </c>
      <c r="AH14" s="1170">
        <f t="shared" si="6"/>
        <v>0</v>
      </c>
      <c r="AI14" s="1165">
        <f t="shared" si="6"/>
        <v>510</v>
      </c>
      <c r="AJ14" s="1167">
        <f t="shared" si="6"/>
        <v>0</v>
      </c>
      <c r="AK14" s="1170">
        <f>SUBTOTAL(9,AK9:AK13)</f>
        <v>0</v>
      </c>
      <c r="AL14" s="1174">
        <f>IF(ISNUMBER(NºAsuntos!G14/NºAsuntos!E14),NºAsuntos!G14/NºAsuntos!E14," - ")</f>
        <v>0.87683763475988241</v>
      </c>
      <c r="AM14" s="1174">
        <f>IF(ISNUMBER(((NºAsuntos!I14/NºAsuntos!G14)*11)/factor_trimestre),((NºAsuntos!I14/NºAsuntos!G14)*11)/factor_trimestre," - ")</f>
        <v>6.1803278688524586</v>
      </c>
      <c r="AN14" s="1175">
        <f>IF(ISNUMBER('Resol  Asuntos'!D14/NºAsuntos!G14),'Resol  Asuntos'!D14/NºAsuntos!G14," - ")</f>
        <v>0.19001490312965721</v>
      </c>
      <c r="AO14" s="1176">
        <f>IF(ISNUMBER((NºAsuntos!C14+NºAsuntos!E14)/NºAsuntos!G14),(NºAsuntos!C14+NºAsuntos!E14)/NºAsuntos!G14," - ")</f>
        <v>1.672876304023845</v>
      </c>
      <c r="AP14" s="1177" t="str">
        <f t="shared" si="2"/>
        <v xml:space="preserve"> - </v>
      </c>
      <c r="AQ14" s="1177">
        <f>IF(ISNUMBER((H14-W14+K14)/(F14)),(H14-W14+K14)/(F14)," - ")</f>
        <v>-1.5</v>
      </c>
      <c r="AR14" s="1178">
        <f>IF(ISNUMBER((Datos!P14-Datos!Q14)/(Datos!R14-Datos!P14+Datos!Q14)),(Datos!P14-Datos!Q14)/(Datos!R14-Datos!P14+Datos!Q14)," - ")</f>
        <v>6.8142511241784845E-2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515</v>
      </c>
      <c r="C17" s="173" t="str">
        <f>Datos!A17</f>
        <v xml:space="preserve">Jdos. 1ª Instª. e Instr.                        </v>
      </c>
      <c r="D17" s="173"/>
      <c r="E17" s="290">
        <f>IF(ISNUMBER(Datos!AQ17),Datos!AQ17," - ")</f>
        <v>3</v>
      </c>
      <c r="F17" s="239">
        <f>IF(ISNUMBER(AA17+W17-Datos!J17-K17),AA17+W17-Datos!J17-K17," - ")</f>
        <v>612</v>
      </c>
      <c r="G17" s="373">
        <f>IF(ISNUMBER(IF(D_I="SI",Datos!I17,Datos!I17+Datos!AC17)),IF(D_I="SI",Datos!I17,Datos!I17+Datos!AC17)," - ")</f>
        <v>617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2588</v>
      </c>
      <c r="X17" s="240">
        <f>IF(ISNUMBER(Datos!Q17),Datos!Q17," - ")</f>
        <v>102</v>
      </c>
      <c r="Y17" s="374">
        <f t="shared" ref="Y17:Y22" si="9">SUM(W17:X17)</f>
        <v>2690</v>
      </c>
      <c r="Z17" s="375" t="str">
        <f>IF(ISNUMBER(Datos!CC17),Datos!CC17," - ")</f>
        <v xml:space="preserve"> - </v>
      </c>
      <c r="AA17" s="372">
        <f>IF(ISNUMBER(IF(D_I="SI",Datos!L17,Datos!L17+Datos!AF17)),IF(D_I="SI",Datos!L17,Datos!L17+Datos!AF17)," - ")</f>
        <v>542</v>
      </c>
      <c r="AB17" s="374">
        <f>IF(ISNUMBER(Datos!R17),Datos!R17," - ")</f>
        <v>134</v>
      </c>
      <c r="AC17" s="374">
        <f t="shared" si="8"/>
        <v>676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432</v>
      </c>
      <c r="AJ17" s="245" t="str">
        <f>IF(ISNUMBER(Datos!BW17),Datos!BW17," - ")</f>
        <v xml:space="preserve"> - </v>
      </c>
      <c r="AK17" s="246" t="str">
        <f>IF(ISNUMBER(Datos!BX17),Datos!BX17," - ")</f>
        <v xml:space="preserve"> - </v>
      </c>
      <c r="AL17" s="266">
        <f>IF(ISNUMBER(NºAsuntos!G17/NºAsuntos!E17),NºAsuntos!G17/NºAsuntos!E17," - ")</f>
        <v>1.027799841143765</v>
      </c>
      <c r="AM17" s="284">
        <f>IF(ISNUMBER(((NºAsuntos!I17/NºAsuntos!G17)*11)/factor_trimestre),((NºAsuntos!I17/NºAsuntos!G17)*11)/factor_trimestre," - ")</f>
        <v>2.3037094281298298</v>
      </c>
      <c r="AN17" s="267">
        <f>IF(ISNUMBER('Resol  Asuntos'!D17/NºAsuntos!G17),'Resol  Asuntos'!D17/NºAsuntos!G17," - ")</f>
        <v>0.16692426584234932</v>
      </c>
      <c r="AO17" s="268">
        <f>IF(ISNUMBER((NºAsuntos!C17+NºAsuntos!E17)/NºAsuntos!G17),(NºAsuntos!C17+NºAsuntos!E17)/NºAsuntos!G17," - ")</f>
        <v>1.2113601236476044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173</v>
      </c>
      <c r="X18" s="240">
        <f>IF(ISNUMBER(Datos!Q18),Datos!Q18," - ")</f>
        <v>17</v>
      </c>
      <c r="Y18" s="374">
        <f t="shared" si="9"/>
        <v>190</v>
      </c>
      <c r="Z18" s="375" t="str">
        <f>IF(ISNUMBER(Datos!CC18),Datos!CC18," - ")</f>
        <v xml:space="preserve"> - </v>
      </c>
      <c r="AA18" s="372">
        <f>IF(ISNUMBER(Datos!L18),Datos!L18,"-")</f>
        <v>41</v>
      </c>
      <c r="AB18" s="374">
        <f>IF(ISNUMBER(Datos!R18),Datos!R18," - ")</f>
        <v>16</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68</v>
      </c>
      <c r="AJ18" s="245" t="str">
        <f>IF(ISNUMBER(Datos!BW18),Datos!BW18," - ")</f>
        <v xml:space="preserve"> - </v>
      </c>
      <c r="AK18" s="246" t="str">
        <f>IF(ISNUMBER(Datos!BX18),Datos!BX18," - ")</f>
        <v xml:space="preserve"> - </v>
      </c>
      <c r="AL18" s="266">
        <f>IF(ISNUMBER(NºAsuntos!G18/NºAsuntos!E18),NºAsuntos!G18/NºAsuntos!E18," - ")</f>
        <v>0.82775119617224879</v>
      </c>
      <c r="AM18" s="284">
        <f>IF(ISNUMBER(((NºAsuntos!I18/NºAsuntos!G18)*11)/factor_trimestre),((NºAsuntos!I18/NºAsuntos!G18)*11)/factor_trimestre," - ")</f>
        <v>2.6069364161849711</v>
      </c>
      <c r="AN18" s="267">
        <f>IF(ISNUMBER('Resol  Asuntos'!D18/NºAsuntos!G18),'Resol  Asuntos'!D18/NºAsuntos!G18," - ")</f>
        <v>0.39306358381502893</v>
      </c>
      <c r="AO18" s="268">
        <f>IF(ISNUMBER((NºAsuntos!C18+NºAsuntos!E18)/NºAsuntos!G18),(NºAsuntos!C18+NºAsuntos!E18)/NºAsuntos!G18," - ")</f>
        <v>1.2369942196531791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612</v>
      </c>
      <c r="G23" s="1166">
        <f>SUBTOTAL(9,G16:G22)</f>
        <v>622</v>
      </c>
      <c r="H23" s="1165">
        <f t="shared" ref="H23:O23" si="13">SUBTOTAL(9,H15:H22)</f>
        <v>0</v>
      </c>
      <c r="I23" s="1167">
        <f t="shared" si="13"/>
        <v>0</v>
      </c>
      <c r="J23" s="1167">
        <f t="shared" si="13"/>
        <v>0</v>
      </c>
      <c r="K23" s="1167">
        <f t="shared" si="13"/>
        <v>0</v>
      </c>
      <c r="L23" s="1167">
        <f t="shared" si="13"/>
        <v>124</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2761</v>
      </c>
      <c r="X23" s="1167">
        <f t="shared" si="14"/>
        <v>119</v>
      </c>
      <c r="Y23" s="1168">
        <f t="shared" si="14"/>
        <v>2880</v>
      </c>
      <c r="Z23" s="1168">
        <f t="shared" si="14"/>
        <v>0</v>
      </c>
      <c r="AA23" s="1168">
        <f t="shared" si="14"/>
        <v>583</v>
      </c>
      <c r="AB23" s="1168">
        <f t="shared" si="14"/>
        <v>150</v>
      </c>
      <c r="AC23" s="1168">
        <f t="shared" si="14"/>
        <v>733</v>
      </c>
      <c r="AD23" s="1168">
        <f t="shared" si="14"/>
        <v>0</v>
      </c>
      <c r="AE23" s="1172">
        <f t="shared" si="14"/>
        <v>0</v>
      </c>
      <c r="AF23" s="1165">
        <f t="shared" si="14"/>
        <v>0</v>
      </c>
      <c r="AG23" s="1173">
        <f t="shared" si="14"/>
        <v>0</v>
      </c>
      <c r="AH23" s="1170">
        <f t="shared" si="14"/>
        <v>0</v>
      </c>
      <c r="AI23" s="1165">
        <f t="shared" si="14"/>
        <v>500</v>
      </c>
      <c r="AJ23" s="1167">
        <f t="shared" si="14"/>
        <v>0</v>
      </c>
      <c r="AK23" s="1170">
        <f t="shared" si="14"/>
        <v>0</v>
      </c>
      <c r="AL23" s="1174">
        <f>IF(ISNUMBER(NºAsuntos!G23/NºAsuntos!E23),NºAsuntos!G23/NºAsuntos!E23," - ")</f>
        <v>1.0124679134580126</v>
      </c>
      <c r="AM23" s="1174">
        <f>IF(ISNUMBER(((NºAsuntos!I23/NºAsuntos!G23)*11)/factor_trimestre),((NºAsuntos!I23/NºAsuntos!G23)*11)/factor_trimestre," - ")</f>
        <v>2.3227091633466137</v>
      </c>
      <c r="AN23" s="1175">
        <f>IF(ISNUMBER('Resol  Asuntos'!D23/NºAsuntos!G23),'Resol  Asuntos'!D23/NºAsuntos!G23," - ")</f>
        <v>0.18109380659181457</v>
      </c>
      <c r="AO23" s="1176">
        <f>IF(ISNUMBER((NºAsuntos!C23+NºAsuntos!E23)/NºAsuntos!G23),(NºAsuntos!C23+NºAsuntos!E23)/NºAsuntos!G23," - ")</f>
        <v>1.212966316551974</v>
      </c>
      <c r="AP23" s="1177" t="str">
        <f t="shared" si="2"/>
        <v xml:space="preserve"> - </v>
      </c>
      <c r="AQ23" s="1177">
        <f>IF(ISNUMBER((H23-W23+K23)/(F23)),(H23-W23+K23)/(F23)," - ")</f>
        <v>-4.511437908496732</v>
      </c>
      <c r="AR23" s="1178">
        <f>IF(ISNUMBER((Datos!P23-Datos!Q23)/(Datos!R23-Datos!P23+Datos!Q23)),(Datos!P23-Datos!Q23)/(Datos!R23-Datos!P23+Datos!Q23)," - ")</f>
        <v>3.4482758620689655E-2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6</v>
      </c>
      <c r="F31" s="1120">
        <f t="shared" si="20"/>
        <v>622</v>
      </c>
      <c r="G31" s="1121">
        <f t="shared" si="20"/>
        <v>647</v>
      </c>
      <c r="H31" s="1120">
        <f t="shared" si="20"/>
        <v>0</v>
      </c>
      <c r="I31" s="1122">
        <f t="shared" si="20"/>
        <v>0</v>
      </c>
      <c r="J31" s="1122">
        <f t="shared" si="20"/>
        <v>0</v>
      </c>
      <c r="K31" s="1183">
        <f t="shared" si="20"/>
        <v>0</v>
      </c>
      <c r="L31" s="1122">
        <f t="shared" si="20"/>
        <v>587</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2776</v>
      </c>
      <c r="X31" s="1121">
        <f t="shared" si="21"/>
        <v>385</v>
      </c>
      <c r="Y31" s="1128">
        <f t="shared" si="21"/>
        <v>3161</v>
      </c>
      <c r="Z31" s="1128">
        <f t="shared" si="21"/>
        <v>0</v>
      </c>
      <c r="AA31" s="1128">
        <f t="shared" si="21"/>
        <v>594</v>
      </c>
      <c r="AB31" s="1128">
        <f t="shared" si="21"/>
        <v>3238</v>
      </c>
      <c r="AC31" s="1128">
        <f t="shared" si="21"/>
        <v>746</v>
      </c>
      <c r="AD31" s="1128">
        <f t="shared" si="21"/>
        <v>0</v>
      </c>
      <c r="AE31" s="1130">
        <f t="shared" si="21"/>
        <v>0</v>
      </c>
      <c r="AF31" s="1131">
        <f t="shared" si="21"/>
        <v>0</v>
      </c>
      <c r="AG31" s="1132">
        <f t="shared" si="21"/>
        <v>0</v>
      </c>
      <c r="AH31" s="1130">
        <f t="shared" si="21"/>
        <v>0</v>
      </c>
      <c r="AI31" s="1120">
        <f t="shared" si="21"/>
        <v>1010</v>
      </c>
      <c r="AJ31" s="1120">
        <f t="shared" si="21"/>
        <v>0</v>
      </c>
      <c r="AK31" s="1130">
        <f t="shared" si="21"/>
        <v>0</v>
      </c>
      <c r="AL31" s="1186">
        <f>IF(ISNUMBER(NºAsuntos!G31/NºAsuntos!E31),NºAsuntos!G31/NºAsuntos!E31," - ")</f>
        <v>0.94073946095369732</v>
      </c>
      <c r="AM31" s="1187">
        <f>IF(ISNUMBER(((NºAsuntos!I31/NºAsuntos!G31)*11)/factor_trimestre),((NºAsuntos!I31/NºAsuntos!G31)*11)/factor_trimestre," - ")</f>
        <v>4.2242424242424246</v>
      </c>
      <c r="AN31" s="1187">
        <f>IF(ISNUMBER('Resol  Asuntos'!D31/NºAsuntos!G31),'Resol  Asuntos'!D31/NºAsuntos!G31," - ")</f>
        <v>0.18549127640036731</v>
      </c>
      <c r="AO31" s="1188">
        <f>IF(ISNUMBER((NºAsuntos!C31+NºAsuntos!E31)/NºAsuntos!G31),(NºAsuntos!C31+NºAsuntos!E31)/NºAsuntos!G31," - ")</f>
        <v>1.4396694214876034</v>
      </c>
      <c r="AP31" s="1189" t="str">
        <f t="shared" si="2"/>
        <v xml:space="preserve"> - </v>
      </c>
      <c r="AQ31" s="1190">
        <f>IF(OR(ISNUMBER(FIND("01",Criterios!A8,1)),ISNUMBER(FIND("02",Criterios!A8,1)),ISNUMBER(FIND("03",Criterios!A8,1)),ISNUMBER(FIND("04",Criterios!A8,1))),(I31-W31+K31)/(F31-K31),(H31-W31+K31)/(F31-K31))</f>
        <v>-4.463022508038585</v>
      </c>
      <c r="AR31" s="1191">
        <f>IF(ISNUMBER((Datos!P31-Datos!Q31)/(Datos!R31-Datos!P31+Datos!Q31)),(Datos!P31-Datos!Q31)/(Datos!R31-Datos!P31+Datos!Q31)," - ")</f>
        <v>6.6534914361001313E-2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184.85714285714286</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1.2565617248750864</v>
      </c>
      <c r="F33" s="276">
        <f>IF(ISNUMBER(STDEV(F8:F30)),STDEV(F8:F30),"-")</f>
        <v>313.48535319320212</v>
      </c>
      <c r="G33" s="277">
        <f>IF(ISNUMBER(STDEV(G8:G30)),STDEV(G8:G30),"-")</f>
        <v>297.10908690884821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1287.6150341582986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251.6704193980691</v>
      </c>
      <c r="AJ33" s="276">
        <f t="shared" si="24"/>
        <v>0</v>
      </c>
      <c r="AK33" s="278">
        <f t="shared" si="24"/>
        <v>0</v>
      </c>
      <c r="AL33" s="273">
        <f t="shared" si="24"/>
        <v>8.0608840916002497E-2</v>
      </c>
      <c r="AM33" s="274">
        <f t="shared" si="24"/>
        <v>2.5063975607067857</v>
      </c>
      <c r="AN33" s="274">
        <f t="shared" si="24"/>
        <v>0.15228224711454452</v>
      </c>
      <c r="AO33" s="275">
        <f t="shared" si="24"/>
        <v>0.58716774073263367</v>
      </c>
      <c r="AP33" s="317" t="str">
        <f t="shared" si="24"/>
        <v>-</v>
      </c>
      <c r="AQ33" s="318">
        <f t="shared" si="24"/>
        <v>2.1294081662202733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j6HK0oowTV/N6bP6l+gjR+8ntHrBuX2c7f3xs9ryvZNKmSryw/ojxYwPa/iXTkEhGBBp10pWyZnF8LHBv519Aw==" saltValue="ml3MQ4HaqhrEGWUKoH90g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0.92307692307692313</v>
      </c>
      <c r="E10" s="394">
        <f>IF(ISNUMBER((Datos!J10-Datos!T10)/Datos!T10),(Datos!J10-Datos!T10)/Datos!T10," - ")</f>
        <v>6.6666666666666666E-2</v>
      </c>
      <c r="F10" s="394">
        <f>IF(ISNUMBER((Datos!K10-Datos!U10)/Datos!U10),(Datos!K10-Datos!U10)/Datos!U10," - ")</f>
        <v>4</v>
      </c>
      <c r="G10" s="395">
        <f>IF(ISNUMBER((Datos!L10-Datos!V10)/Datos!V10),(Datos!L10-Datos!V10)/Datos!V10," - ")</f>
        <v>-0.56000000000000005</v>
      </c>
      <c r="H10" s="244" t="str">
        <f>IF(ISNUMBER((Datos!M10-Datos!W10)/Datos!W10),(Datos!M10-Datos!W10)/Datos!W10," - ")</f>
        <v xml:space="preserve"> - </v>
      </c>
      <c r="I10" s="396">
        <f>IF(ISNUMBER((Tasas!C10-Datos!BE10)/Datos!BE10),(Tasas!C10-Datos!BE10)/Datos!BE10," - ")</f>
        <v>-0.91200000000000003</v>
      </c>
      <c r="J10" s="395" t="str">
        <f>IF(ISNUMBER((Tasas!D10-Datos!BF10)/Datos!BF10),(Tasas!D10-Datos!BF10)/Datos!BF10," - ")</f>
        <v xml:space="preserve"> - </v>
      </c>
      <c r="K10" s="397">
        <f>IF(ISNUMBER((Tasas!E10-Datos!BG10)/Datos!BG10),(Tasas!E10-Datos!BG10)/Datos!BG10," - ")</f>
        <v>-0.70714285714285718</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0.10329670329670329</v>
      </c>
      <c r="I12" s="396">
        <f>IF(ISNUMBER((Tasas!C12-Datos!BE12)/Datos!BE12),(Tasas!C12-Datos!BE12)/Datos!BE12," - ")</f>
        <v>8.3132387366183485E-3</v>
      </c>
      <c r="J12" s="395">
        <f>IF(ISNUMBER((Tasas!D12-Datos!BF12)/Datos!BF12),(Tasas!D12-Datos!BF12)/Datos!BF12," - ")</f>
        <v>-0.5990476238696546</v>
      </c>
      <c r="K12" s="397">
        <f>IF(ISNUMBER((Tasas!E12-Datos!BG12)/Datos!BG12),(Tasas!E12-Datos!BG12)/Datos!BG12," - ")</f>
        <v>7.1104153519438301E-2</v>
      </c>
      <c r="M12" t="e">
        <f>IF(Monitorios="SI",Datos!CE12,0)</f>
        <v>#REF!</v>
      </c>
      <c r="N12" t="e">
        <f>IF(Monitorios="SI",Datos!CF12,0)</f>
        <v>#REF!</v>
      </c>
      <c r="O12" t="e">
        <f>IF(Monitorios="SI",Datos!CG12,0)</f>
        <v>#REF!</v>
      </c>
      <c r="P12" t="e">
        <f>IF(Monitorios="SI",Datos!CH12,0)</f>
        <v>#REF!</v>
      </c>
      <c r="Q12">
        <f>IF(J_V="SI",0,Datos!AG12)</f>
        <v>85</v>
      </c>
      <c r="R12">
        <f>IF(J_V="SI",0,Datos!AH12)</f>
        <v>140</v>
      </c>
      <c r="S12">
        <f>IF(J_V="SI",0,Datos!AI12)</f>
        <v>156</v>
      </c>
      <c r="T12">
        <f>IF(J_V="SI",0,Datos!AJ12)</f>
        <v>69</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0.12087912087912088</v>
      </c>
      <c r="I14" s="403">
        <f>IF(ISNUMBER((Tasas!C14-Datos!BE14)/Datos!BE14),(Tasas!C14-Datos!BE14)/Datos!BE14," - ")</f>
        <v>-6.4451603416143559E-3</v>
      </c>
      <c r="J14" s="401">
        <f>IF(ISNUMBER((Tasas!D14-Datos!BF14)/Datos!BF14),(Tasas!D14-Datos!BF14)/Datos!BF14," - ")</f>
        <v>-0.59445298968864557</v>
      </c>
      <c r="K14" s="404">
        <f>IF(ISNUMBER((Tasas!E14-Datos!BG14)/Datos!BG14),(Tasas!E14-Datos!BG14)/Datos!BG14," - ")</f>
        <v>6.859414061381601E-2</v>
      </c>
      <c r="M14" t="e">
        <f>IF(Monitorios="SI",Datos!CE14,0)</f>
        <v>#REF!</v>
      </c>
      <c r="N14" t="e">
        <f>IF(Monitorios="SI",Datos!CF14,0)</f>
        <v>#REF!</v>
      </c>
      <c r="O14" t="e">
        <f>IF(Monitorios="SI",Datos!CG14,0)</f>
        <v>#REF!</v>
      </c>
      <c r="P14" t="e">
        <f>IF(Monitorios="SI",Datos!CH14,0)</f>
        <v>#REF!</v>
      </c>
      <c r="Q14">
        <f>IF(J_V="SI",0,Datos!AG14)</f>
        <v>85</v>
      </c>
      <c r="R14">
        <f>IF(J_V="SI",0,Datos!AH14)</f>
        <v>140</v>
      </c>
      <c r="S14">
        <f>IF(J_V="SI",0,Datos!AI14)</f>
        <v>156</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-2.3734177215189875E-2</v>
      </c>
      <c r="E17" s="394">
        <f>IF(ISNUMBER(
   IF(D_I="SI",(Datos!J17-Datos!T17)/Datos!T17,(Datos!J17+Datos!AD17-(Datos!T17+Datos!AL17))/(Datos!T17+Datos!AL17))
     ),IF(D_I="SI",(Datos!J17-Datos!T17)/Datos!T17,(Datos!J17+Datos!AD17-(Datos!T17+Datos!AL17))/(Datos!T17+Datos!AL17))," - ")</f>
        <v>-8.3029861616897307E-2</v>
      </c>
      <c r="F17" s="394">
        <f>IF(ISNUMBER(
   IF(D_I="SI",(Datos!K17-Datos!U17)/Datos!U17,(Datos!K17+Datos!AE17-(Datos!U17+Datos!AM17))/(Datos!U17+Datos!AM17))
     ),IF(D_I="SI",(Datos!K17-Datos!U17)/Datos!U17,(Datos!K17+Datos!AE17-(Datos!U17+Datos!AM17))/(Datos!U17+Datos!AM17))," - ")</f>
        <v>-1.6717325227963525E-2</v>
      </c>
      <c r="G17" s="395">
        <f>IF(ISNUMBER(
   IF(D_I="SI",(Datos!L17-Datos!V17)/Datos!V17,(Datos!L17+Datos!AF17-(Datos!V17+Datos!AN17))/(Datos!V17+Datos!AN17))
     ),IF(D_I="SI",(Datos!L17-Datos!V17)/Datos!V17,(Datos!L17+Datos!AF17-(Datos!V17+Datos!AN17))/(Datos!V17+Datos!AN17))," - ")</f>
        <v>-0.12155591572123177</v>
      </c>
      <c r="H17" s="244">
        <f>IF(ISNUMBER((Datos!M17-Datos!W17)/Datos!W17),(Datos!M17-Datos!W17)/Datos!W17," - ")</f>
        <v>0.19008264462809918</v>
      </c>
      <c r="I17" s="396">
        <f>IF(ISNUMBER((Tasas!C17-Datos!BE17)/Datos!BE17),(Tasas!C17-Datos!BE17)/Datos!BE17," - ")</f>
        <v>-0.1066210085696607</v>
      </c>
      <c r="J17" s="395">
        <f>IF(ISNUMBER((Tasas!D17-Datos!BF17)/Datos!BF17),(Tasas!D17-Datos!BF17)/Datos!BF17," - ")</f>
        <v>0.21031588897262651</v>
      </c>
      <c r="K17" s="397">
        <f>IF(ISNUMBER((Tasas!E17-Datos!BG17)/Datos!BG17),(Tasas!E17-Datos!BG17)/Datos!BG17," - ")</f>
        <v>-5.6157535393577672E-2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-0.66666666666666663</v>
      </c>
      <c r="E18" s="394">
        <f>IF(ISNUMBER(
   IF(D_I="SI",(Datos!J18-Datos!T18)/Datos!T18,(Datos!J18+Datos!AD18-(Datos!T18+Datos!AL18))/(Datos!T18+Datos!AL18))
     ),IF(D_I="SI",(Datos!J18-Datos!T18)/Datos!T18,(Datos!J18+Datos!AD18-(Datos!T18+Datos!AL18))/(Datos!T18+Datos!AL18))," - ")</f>
        <v>1.4563106796116505E-2</v>
      </c>
      <c r="F18" s="394">
        <f>IF(ISNUMBER(
   IF(D_I="SI",(Datos!K18-Datos!U18)/Datos!U18,(Datos!K18+Datos!AE18-(Datos!U18+Datos!AM18))/(Datos!U18+Datos!AM18))
     ),IF(D_I="SI",(Datos!K18-Datos!U18)/Datos!U18,(Datos!K18+Datos!AE18-(Datos!U18+Datos!AM18))/(Datos!U18+Datos!AM18))," - ")</f>
        <v>-0.19907407407407407</v>
      </c>
      <c r="G18" s="395">
        <f>IF(ISNUMBER(
   IF(D_I="SI",(Datos!L18-Datos!V18)/Datos!V18,(Datos!L18+Datos!AF18-(Datos!V18+Datos!AN18))/(Datos!V18+Datos!AN18))
     ),IF(D_I="SI",(Datos!L18-Datos!V18)/Datos!V18,(Datos!L18+Datos!AF18-(Datos!V18+Datos!AN18))/(Datos!V18+Datos!AN18))," - ")</f>
        <v>7.2</v>
      </c>
      <c r="H18" s="244">
        <f>IF(ISNUMBER((Datos!M18-Datos!W18)/Datos!W18),(Datos!M18-Datos!W18)/Datos!W18," - ")</f>
        <v>0.11475409836065574</v>
      </c>
      <c r="I18" s="396">
        <f>IF(ISNUMBER((Tasas!C18-Datos!BE18)/Datos!BE18),(Tasas!C18-Datos!BE18)/Datos!BE18," - ")</f>
        <v>9.2381502890173408</v>
      </c>
      <c r="J18" s="395">
        <f>IF(ISNUMBER((Tasas!D18-Datos!BF18)/Datos!BF18),(Tasas!D18-Datos!BF18)/Datos!BF18," - ")</f>
        <v>0.39183170662370909</v>
      </c>
      <c r="K18" s="397">
        <f>IF(ISNUMBER((Tasas!E18-Datos!BG18)/Datos!BG18),(Tasas!E18-Datos!BG18)/Datos!BG18," - ")</f>
        <v>0.20900792509089003</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-3.8639876352395672E-2</v>
      </c>
      <c r="E23" s="400">
        <f>IF(ISNUMBER(
   IF(D_I="SI",(Datos!J23-Datos!T23)/Datos!T23,(Datos!J23+Datos!AD23-(Datos!T23+Datos!AL23))/(Datos!T23+Datos!AL23))
     ),IF(D_I="SI",(Datos!J23-Datos!T23)/Datos!T23,(Datos!J23+Datos!AD23-(Datos!T23+Datos!AL23))/(Datos!T23+Datos!AL23))," - ")</f>
        <v>-7.621951219512195E-2</v>
      </c>
      <c r="F23" s="400">
        <f>IF(ISNUMBER(
   IF(D_I="SI",(Datos!K23-Datos!U23)/Datos!U23,(Datos!K23+Datos!AE23-(Datos!U23+Datos!AM23))/(Datos!U23+Datos!AM23))
     ),IF(D_I="SI",(Datos!K23-Datos!U23)/Datos!U23,(Datos!K23+Datos!AE23-(Datos!U23+Datos!AM23))/(Datos!U23+Datos!AM23))," - ")</f>
        <v>-3.0547752808988762E-2</v>
      </c>
      <c r="G23" s="401">
        <f>IF(ISNUMBER(
   IF(D_I="SI",(Datos!L23-Datos!V23)/Datos!V23,(Datos!L23+Datos!AF23-(Datos!V23+Datos!AN23))/(Datos!V23+Datos!AN23))
     ),IF(D_I="SI",(Datos!L23-Datos!V23)/Datos!V23,(Datos!L23+Datos!AF23-(Datos!V23+Datos!AN23))/(Datos!V23+Datos!AN23))," - ")</f>
        <v>-6.2700964630225078E-2</v>
      </c>
      <c r="H23" s="402">
        <f>IF(ISNUMBER((Datos!M23-Datos!W23)/Datos!W23),(Datos!M23-Datos!W23)/Datos!W23," - ")</f>
        <v>0.17924528301886791</v>
      </c>
      <c r="I23" s="403">
        <f>IF(ISNUMBER((Tasas!C23-Datos!BE23)/Datos!BE23),(Tasas!C23-Datos!BE23)/Datos!BE23," - ")</f>
        <v>-3.3166369890214001E-2</v>
      </c>
      <c r="J23" s="401">
        <f>IF(ISNUMBER((Tasas!D23-Datos!BF23)/Datos!BF23),(Tasas!D23-Datos!BF23)/Datos!BF23," - ")</f>
        <v>0.2164036820129431</v>
      </c>
      <c r="K23" s="404">
        <f>IF(ISNUMBER((Tasas!E23-Datos!BG23)/Datos!BG23),(Tasas!E23-Datos!BG23)/Datos!BG23," - ")</f>
        <v>-4.014224241733217E-2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-9.6571704490584255E-3</v>
      </c>
      <c r="E31" s="410">
        <f>IF(ISNUMBER(
   IF(J_V="SI",(Datos!J31-Datos!T31)/Datos!T31,(Datos!J31+Datos!Z31-(Datos!T31+Datos!AH31))/(Datos!T31+Datos!AH31))
     ),IF(J_V="SI",(Datos!J31-Datos!T31)/Datos!T31,(Datos!J31+Datos!Z31-(Datos!T31+Datos!AH31))/(Datos!T31+Datos!AH31))," - ")</f>
        <v>5.5433989788475566E-2</v>
      </c>
      <c r="F31" s="410">
        <f>IF(ISNUMBER(
   IF(J_V="SI",(Datos!K31-Datos!U31)/Datos!U31,(Datos!K31+Datos!AA31-(Datos!U31+Datos!AI31))/(Datos!U31+Datos!AI31))
     ),IF(J_V="SI",(Datos!K31-Datos!U31)/Datos!U31,(Datos!K31+Datos!AA31-(Datos!U31+Datos!AI31))/(Datos!U31+Datos!AI31))," - ")</f>
        <v>1.3023255813953489E-2</v>
      </c>
      <c r="G31" s="411">
        <f>IF(ISNUMBER(
   IF(J_V="SI",(Datos!L31-Datos!V31)/Datos!V31,(Datos!L31+Datos!AB31-(Datos!V31+Datos!AJ31))/(Datos!V31+Datos!AJ31))
     ),IF(J_V="SI",(Datos!L31-Datos!V31)/Datos!V31,(Datos!L31+Datos!AB31-(Datos!V31+Datos!AJ31))/(Datos!V31+Datos!AJ31))," - ")</f>
        <v>1.9502681618722574E-2</v>
      </c>
      <c r="H31" s="412">
        <f>IF(ISNUMBER((Datos!M31-Datos!W31)/Datos!W31),(Datos!M31-Datos!W31)/Datos!W31," - ")</f>
        <v>0.14903299203640499</v>
      </c>
      <c r="I31" s="409">
        <f>IF(ISNUMBER((Tasas!C31-Datos!BE31)/Datos!BE31),(Tasas!C31-Datos!BE31)/Datos!BE31," - ")</f>
        <v>6.3961274014019574E-3</v>
      </c>
      <c r="J31" s="410">
        <f>IF(ISNUMBER((Tasas!D31-Datos!BF31)/Datos!BF31),(Tasas!D31-Datos!BF31)/Datos!BF31," - ")</f>
        <v>-0.37996541626121005</v>
      </c>
      <c r="K31" s="411">
        <f>IF(ISNUMBER((Tasas!E31-Datos!BG31)/Datos!BG31),(Tasas!E31-Datos!BG31)/Datos!BG31," - ")</f>
        <v>2.4251904764509346E-2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0.65553013904035817</v>
      </c>
      <c r="E33" s="303">
        <f t="shared" si="1"/>
        <v>7.265933290298264E-2</v>
      </c>
      <c r="F33" s="303">
        <f t="shared" si="1"/>
        <v>2.0427392296366222</v>
      </c>
      <c r="G33" s="304">
        <f t="shared" si="1"/>
        <v>3.7306457191255786</v>
      </c>
      <c r="H33" s="310">
        <f t="shared" si="1"/>
        <v>3.9952849307258481E-2</v>
      </c>
      <c r="I33" s="302">
        <f t="shared" si="1"/>
        <v>3.8733247304777967</v>
      </c>
      <c r="J33" s="303">
        <f t="shared" si="1"/>
        <v>0.4818481152725097</v>
      </c>
      <c r="K33" s="304">
        <f t="shared" si="1"/>
        <v>0.3236656166609489</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u6HDaeH6UM5l75MJqFT8cU3s8LgpzWRbjMJRYPXRRM80ZHe0Tsz4M5ANkC/Rk6D6fAy64UbVxGDB4lfIiNFSQ==" saltValue="ny2c9gA9vjnc6uFkdGAii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